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jensen\Desktop\LJensen\SRTF\Website Docs\"/>
    </mc:Choice>
  </mc:AlternateContent>
  <bookViews>
    <workbookView xWindow="0" yWindow="0" windowWidth="20490" windowHeight="7620" tabRatio="887"/>
  </bookViews>
  <sheets>
    <sheet name="Employment and Wages" sheetId="46" r:id="rId1"/>
    <sheet name="MBE" sheetId="47" r:id="rId2"/>
    <sheet name="Higher Education" sheetId="18" r:id="rId3"/>
    <sheet name="ESRI_MAPINFO_SHEET" sheetId="2" state="veryHidden" r:id="rId4"/>
    <sheet name="Tax Rev" sheetId="41" r:id="rId5"/>
    <sheet name="RPS Property Tax" sheetId="34" r:id="rId6"/>
    <sheet name="Visitors" sheetId="19" r:id="rId7"/>
    <sheet name="Rec &amp; Leisure" sheetId="20" r:id="rId8"/>
    <sheet name="Health 1" sheetId="21" r:id="rId9"/>
    <sheet name="Health 2" sheetId="26" r:id="rId10"/>
    <sheet name="Transit 1" sheetId="16" r:id="rId11"/>
    <sheet name="Transit 2" sheetId="24" r:id="rId12"/>
    <sheet name="Transit 3" sheetId="17" r:id="rId13"/>
    <sheet name="Commuter" sheetId="37" r:id="rId14"/>
    <sheet name="Housing" sheetId="42" r:id="rId15"/>
    <sheet name="Demo-Age" sheetId="43" r:id="rId16"/>
    <sheet name="Demo-Race" sheetId="45" r:id="rId17"/>
    <sheet name="Demo-Income" sheetId="28" r:id="rId18"/>
    <sheet name="Demo-Poverty" sheetId="29" r:id="rId19"/>
    <sheet name="Demo-Unemployment" sheetId="30" r:id="rId20"/>
    <sheet name="Demo-Educ" sheetId="31" r:id="rId21"/>
    <sheet name="Population &amp; Migration" sheetId="36" r:id="rId22"/>
    <sheet name="Cost of Living" sheetId="48" r:id="rId23"/>
    <sheet name="Cost of Living - Housing" sheetId="51" r:id="rId24"/>
    <sheet name="HH AMI% Pie Chart" sheetId="39" r:id="rId25"/>
    <sheet name="Maxwell AH Need &amp; Production" sheetId="40" r:id="rId26"/>
    <sheet name="AH Stock Tracking &amp; Buildt tD" sheetId="52" r:id="rId2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9" i="20" l="1"/>
  <c r="J9" i="20" s="1"/>
  <c r="I8" i="20"/>
  <c r="J8" i="20" s="1"/>
  <c r="I6" i="20"/>
  <c r="J6" i="20" s="1"/>
  <c r="I3" i="20"/>
  <c r="J3" i="20" s="1"/>
  <c r="J9" i="19"/>
  <c r="J8" i="19"/>
  <c r="J7" i="19"/>
  <c r="J6" i="19"/>
  <c r="J5" i="19"/>
  <c r="J4" i="19"/>
  <c r="K4" i="19" s="1"/>
  <c r="V19" i="31" l="1"/>
  <c r="V18" i="31"/>
  <c r="V17" i="31"/>
  <c r="V16" i="31"/>
  <c r="V15" i="31"/>
  <c r="V14" i="31"/>
  <c r="V27" i="31"/>
  <c r="V26" i="31"/>
  <c r="V25" i="31"/>
  <c r="V24" i="31"/>
  <c r="V23" i="31"/>
  <c r="V22" i="31"/>
  <c r="V10" i="31"/>
  <c r="V9" i="31"/>
  <c r="V8" i="31"/>
  <c r="V7" i="31"/>
  <c r="V6" i="31"/>
  <c r="V5" i="31"/>
  <c r="V11" i="29"/>
  <c r="V8" i="29"/>
  <c r="V5" i="29"/>
  <c r="V29" i="28"/>
  <c r="V28" i="28"/>
  <c r="V27" i="28"/>
  <c r="V26" i="28"/>
  <c r="V25" i="28"/>
  <c r="V19" i="28"/>
  <c r="V18" i="28"/>
  <c r="V17" i="28"/>
  <c r="V16" i="28"/>
  <c r="V15" i="28"/>
  <c r="V9" i="28"/>
  <c r="V8" i="28"/>
  <c r="V7" i="28"/>
  <c r="V6" i="28"/>
  <c r="V5" i="28"/>
  <c r="AC9" i="45"/>
  <c r="AC19" i="45"/>
  <c r="AC12" i="45"/>
  <c r="AC11" i="45"/>
  <c r="AC10" i="45"/>
  <c r="AC8" i="45"/>
  <c r="AC7" i="45"/>
  <c r="AC6" i="45"/>
  <c r="AC22" i="45"/>
  <c r="AC21" i="45"/>
  <c r="AC20" i="45"/>
  <c r="AC18" i="45"/>
  <c r="AC17" i="45"/>
  <c r="AC16" i="45"/>
  <c r="U6" i="42"/>
  <c r="V6" i="42" s="1"/>
  <c r="V8" i="42"/>
  <c r="AH21" i="39" l="1"/>
  <c r="AH20" i="39"/>
  <c r="AH19" i="39"/>
  <c r="AH18" i="39"/>
  <c r="AH17" i="39"/>
  <c r="AH16" i="39"/>
  <c r="AH15" i="39"/>
  <c r="AG21" i="39"/>
  <c r="AG20" i="39"/>
  <c r="AG19" i="39"/>
  <c r="AG18" i="39"/>
  <c r="AG17" i="39"/>
  <c r="AG16" i="39"/>
  <c r="AG15" i="39"/>
  <c r="P28" i="52"/>
  <c r="AK30" i="39" s="1"/>
  <c r="O28" i="52"/>
  <c r="N28" i="52"/>
  <c r="M28" i="52"/>
  <c r="F24" i="52"/>
  <c r="F23" i="52"/>
  <c r="F19" i="52"/>
  <c r="F6" i="52"/>
  <c r="F5" i="52"/>
  <c r="F4" i="52"/>
  <c r="F29" i="52" s="1"/>
  <c r="AK28" i="39" l="1"/>
  <c r="AK29" i="39"/>
  <c r="O30" i="52"/>
  <c r="G114" i="51"/>
  <c r="F114" i="51"/>
  <c r="E114" i="51"/>
  <c r="D114" i="51"/>
  <c r="G113" i="51"/>
  <c r="F113" i="51"/>
  <c r="E113" i="51"/>
  <c r="D113" i="51"/>
  <c r="G112" i="51"/>
  <c r="F112" i="51"/>
  <c r="E112" i="51"/>
  <c r="D112" i="51"/>
  <c r="G111" i="51"/>
  <c r="F111" i="51"/>
  <c r="E111" i="51"/>
  <c r="D111" i="51"/>
  <c r="G110" i="51"/>
  <c r="F110" i="51"/>
  <c r="E110" i="51"/>
  <c r="D110" i="51"/>
  <c r="G109" i="51"/>
  <c r="F109" i="51"/>
  <c r="E109" i="51"/>
  <c r="D109" i="51"/>
  <c r="G108" i="51"/>
  <c r="F108" i="51"/>
  <c r="E108" i="51"/>
  <c r="D108" i="51"/>
  <c r="G105" i="51"/>
  <c r="F105" i="51"/>
  <c r="E105" i="51"/>
  <c r="D105" i="51"/>
  <c r="G104" i="51"/>
  <c r="F104" i="51"/>
  <c r="E104" i="51"/>
  <c r="D104" i="51"/>
  <c r="G103" i="51"/>
  <c r="F103" i="51"/>
  <c r="E103" i="51"/>
  <c r="D103" i="51"/>
  <c r="G102" i="51"/>
  <c r="F102" i="51"/>
  <c r="E102" i="51"/>
  <c r="D102" i="51"/>
  <c r="G101" i="51"/>
  <c r="F101" i="51"/>
  <c r="E101" i="51"/>
  <c r="D101" i="51"/>
  <c r="G100" i="51"/>
  <c r="F100" i="51"/>
  <c r="E100" i="51"/>
  <c r="D100" i="51"/>
  <c r="G99" i="51"/>
  <c r="F99" i="51"/>
  <c r="E99" i="51"/>
  <c r="D99" i="51"/>
  <c r="G96" i="51"/>
  <c r="F96" i="51"/>
  <c r="E96" i="51"/>
  <c r="D96" i="51"/>
  <c r="G95" i="51"/>
  <c r="F95" i="51"/>
  <c r="E95" i="51"/>
  <c r="D95" i="51"/>
  <c r="G94" i="51"/>
  <c r="F94" i="51"/>
  <c r="E94" i="51"/>
  <c r="D94" i="51"/>
  <c r="G93" i="51"/>
  <c r="F93" i="51"/>
  <c r="E93" i="51"/>
  <c r="D93" i="51"/>
  <c r="G92" i="51"/>
  <c r="F92" i="51"/>
  <c r="E92" i="51"/>
  <c r="D92" i="51"/>
  <c r="G91" i="51"/>
  <c r="F91" i="51"/>
  <c r="E91" i="51"/>
  <c r="D91" i="51"/>
  <c r="G90" i="51"/>
  <c r="F90" i="51"/>
  <c r="E90" i="51"/>
  <c r="D90" i="51"/>
  <c r="G87" i="51"/>
  <c r="F87" i="51"/>
  <c r="E87" i="51"/>
  <c r="D87" i="51"/>
  <c r="G86" i="51"/>
  <c r="F86" i="51"/>
  <c r="E86" i="51"/>
  <c r="D86" i="51"/>
  <c r="G85" i="51"/>
  <c r="F85" i="51"/>
  <c r="E85" i="51"/>
  <c r="D85" i="51"/>
  <c r="G84" i="51"/>
  <c r="F84" i="51"/>
  <c r="E84" i="51"/>
  <c r="D84" i="51"/>
  <c r="G83" i="51"/>
  <c r="F83" i="51"/>
  <c r="E83" i="51"/>
  <c r="D83" i="51"/>
  <c r="G82" i="51"/>
  <c r="F82" i="51"/>
  <c r="E82" i="51"/>
  <c r="D82" i="51"/>
  <c r="G81" i="51"/>
  <c r="F81" i="51"/>
  <c r="E81" i="51"/>
  <c r="D81" i="51"/>
  <c r="G78" i="51"/>
  <c r="F78" i="51"/>
  <c r="E78" i="51"/>
  <c r="D78" i="51"/>
  <c r="G77" i="51"/>
  <c r="F77" i="51"/>
  <c r="E77" i="51"/>
  <c r="D77" i="51"/>
  <c r="G76" i="51"/>
  <c r="F76" i="51"/>
  <c r="E76" i="51"/>
  <c r="D76" i="51"/>
  <c r="G75" i="51"/>
  <c r="F75" i="51"/>
  <c r="E75" i="51"/>
  <c r="D75" i="51"/>
  <c r="G74" i="51"/>
  <c r="F74" i="51"/>
  <c r="E74" i="51"/>
  <c r="D74" i="51"/>
  <c r="G73" i="51"/>
  <c r="F73" i="51"/>
  <c r="E73" i="51"/>
  <c r="D73" i="51"/>
  <c r="G72" i="51"/>
  <c r="F72" i="51"/>
  <c r="E72" i="51"/>
  <c r="D72" i="51"/>
  <c r="G69" i="51"/>
  <c r="F69" i="51"/>
  <c r="E69" i="51"/>
  <c r="D69" i="51"/>
  <c r="G68" i="51"/>
  <c r="F68" i="51"/>
  <c r="E68" i="51"/>
  <c r="D68" i="51"/>
  <c r="G67" i="51"/>
  <c r="F67" i="51"/>
  <c r="E67" i="51"/>
  <c r="D67" i="51"/>
  <c r="G66" i="51"/>
  <c r="F66" i="51"/>
  <c r="E66" i="51"/>
  <c r="D66" i="51"/>
  <c r="G65" i="51"/>
  <c r="F65" i="51"/>
  <c r="E65" i="51"/>
  <c r="D65" i="51"/>
  <c r="G64" i="51"/>
  <c r="F64" i="51"/>
  <c r="E64" i="51"/>
  <c r="D64" i="51"/>
  <c r="G63" i="51"/>
  <c r="F63" i="51"/>
  <c r="E63" i="51"/>
  <c r="D63" i="51"/>
  <c r="G60" i="51"/>
  <c r="F60" i="51"/>
  <c r="E60" i="51"/>
  <c r="D60" i="51"/>
  <c r="G59" i="51"/>
  <c r="F59" i="51"/>
  <c r="E59" i="51"/>
  <c r="D59" i="51"/>
  <c r="G58" i="51"/>
  <c r="F58" i="51"/>
  <c r="E58" i="51"/>
  <c r="D58" i="51"/>
  <c r="G57" i="51"/>
  <c r="F57" i="51"/>
  <c r="E57" i="51"/>
  <c r="D57" i="51"/>
  <c r="G56" i="51"/>
  <c r="F56" i="51"/>
  <c r="E56" i="51"/>
  <c r="D56" i="51"/>
  <c r="G55" i="51"/>
  <c r="F55" i="51"/>
  <c r="E55" i="51"/>
  <c r="D55" i="51"/>
  <c r="G54" i="51"/>
  <c r="F54" i="51"/>
  <c r="E54" i="51"/>
  <c r="D54" i="51"/>
  <c r="J50" i="51"/>
  <c r="I50" i="51"/>
  <c r="H50" i="51"/>
  <c r="J49" i="51"/>
  <c r="I49" i="51"/>
  <c r="H49" i="51"/>
  <c r="J48" i="51"/>
  <c r="I48" i="51"/>
  <c r="H48" i="51"/>
  <c r="J47" i="51"/>
  <c r="I47" i="51"/>
  <c r="H47" i="51"/>
  <c r="J46" i="51"/>
  <c r="I46" i="51"/>
  <c r="H46" i="51"/>
  <c r="J45" i="51"/>
  <c r="I45" i="51"/>
  <c r="H45" i="51"/>
  <c r="J41" i="51"/>
  <c r="I41" i="51"/>
  <c r="H41" i="51"/>
  <c r="J40" i="51"/>
  <c r="I40" i="51"/>
  <c r="H40" i="51"/>
  <c r="J39" i="51"/>
  <c r="I39" i="51"/>
  <c r="H39" i="51"/>
  <c r="J38" i="51"/>
  <c r="I38" i="51"/>
  <c r="H38" i="51"/>
  <c r="J37" i="51"/>
  <c r="I37" i="51"/>
  <c r="H37" i="51"/>
  <c r="J36" i="51"/>
  <c r="I36" i="51"/>
  <c r="H36" i="51"/>
  <c r="J32" i="51"/>
  <c r="I32" i="51"/>
  <c r="H32" i="51"/>
  <c r="J31" i="51"/>
  <c r="I31" i="51"/>
  <c r="H31" i="51"/>
  <c r="J30" i="51"/>
  <c r="I30" i="51"/>
  <c r="H30" i="51"/>
  <c r="J29" i="51"/>
  <c r="I29" i="51"/>
  <c r="H29" i="51"/>
  <c r="J28" i="51"/>
  <c r="I28" i="51"/>
  <c r="H28" i="51"/>
  <c r="J27" i="51"/>
  <c r="I27" i="51"/>
  <c r="H27" i="51"/>
  <c r="BX15" i="51"/>
  <c r="BW15" i="51"/>
  <c r="BV15" i="51"/>
  <c r="BU15" i="51"/>
  <c r="BT15" i="51"/>
  <c r="BS15" i="51"/>
  <c r="BM15" i="51"/>
  <c r="BL15" i="51"/>
  <c r="BK15" i="51"/>
  <c r="BJ15" i="51"/>
  <c r="BI15" i="51"/>
  <c r="BH15" i="51"/>
  <c r="BB15" i="51"/>
  <c r="BA15" i="51"/>
  <c r="AZ15" i="51"/>
  <c r="AY15" i="51"/>
  <c r="AX15" i="51"/>
  <c r="AW15" i="51"/>
  <c r="AQ15" i="51"/>
  <c r="AQ5" i="51" s="1"/>
  <c r="AP15" i="51"/>
  <c r="AO15" i="51"/>
  <c r="AN15" i="51"/>
  <c r="AM15" i="51"/>
  <c r="AL15" i="51"/>
  <c r="AF15" i="51"/>
  <c r="AE15" i="51"/>
  <c r="AD15" i="51"/>
  <c r="AC15" i="51"/>
  <c r="AB15" i="51"/>
  <c r="AA15" i="51"/>
  <c r="U15" i="51"/>
  <c r="T15" i="51"/>
  <c r="S15" i="51"/>
  <c r="R15" i="51"/>
  <c r="Q15" i="51"/>
  <c r="P15" i="51"/>
  <c r="J15" i="51"/>
  <c r="I15" i="51"/>
  <c r="H15" i="51"/>
  <c r="G15" i="51"/>
  <c r="F15" i="51"/>
  <c r="E15" i="51"/>
  <c r="BX7" i="51"/>
  <c r="BW7" i="51"/>
  <c r="BV7" i="51"/>
  <c r="BU7" i="51"/>
  <c r="BT7" i="51"/>
  <c r="BS7" i="51"/>
  <c r="BM7" i="51"/>
  <c r="BL7" i="51"/>
  <c r="BK7" i="51"/>
  <c r="BJ7" i="51"/>
  <c r="BI7" i="51"/>
  <c r="BH7" i="51"/>
  <c r="BB7" i="51"/>
  <c r="BA7" i="51"/>
  <c r="AZ7" i="51"/>
  <c r="AY7" i="51"/>
  <c r="AX7" i="51"/>
  <c r="AW7" i="51"/>
  <c r="AQ7" i="51"/>
  <c r="AP7" i="51"/>
  <c r="AO7" i="51"/>
  <c r="AN7" i="51"/>
  <c r="AM7" i="51"/>
  <c r="AL7" i="51"/>
  <c r="AL5" i="51" s="1"/>
  <c r="AF7" i="51"/>
  <c r="AF5" i="51" s="1"/>
  <c r="AE7" i="51"/>
  <c r="AD7" i="51"/>
  <c r="AC7" i="51"/>
  <c r="AB7" i="51"/>
  <c r="AB5" i="51" s="1"/>
  <c r="AA7" i="51"/>
  <c r="U7" i="51"/>
  <c r="T7" i="51"/>
  <c r="S7" i="51"/>
  <c r="R7" i="51"/>
  <c r="Q7" i="51"/>
  <c r="P7" i="51"/>
  <c r="J7" i="51"/>
  <c r="J5" i="51" s="1"/>
  <c r="I7" i="51"/>
  <c r="H7" i="51"/>
  <c r="G7" i="51"/>
  <c r="F7" i="51"/>
  <c r="F5" i="51" s="1"/>
  <c r="E7" i="51"/>
  <c r="AE5" i="51"/>
  <c r="H5" i="51"/>
  <c r="E5" i="51" l="1"/>
  <c r="I5" i="51"/>
  <c r="R5" i="51"/>
  <c r="AA5" i="51"/>
  <c r="AW5" i="51"/>
  <c r="BA5" i="51"/>
  <c r="BJ5" i="51"/>
  <c r="BS5" i="51"/>
  <c r="P5" i="51"/>
  <c r="BH5" i="51"/>
  <c r="G5" i="51"/>
  <c r="T5" i="51"/>
  <c r="AC5" i="51"/>
  <c r="AP5" i="51"/>
  <c r="AY5" i="51"/>
  <c r="BL5" i="51"/>
  <c r="BU5" i="51"/>
  <c r="AN5" i="51"/>
  <c r="BW5" i="51"/>
  <c r="U5" i="51"/>
  <c r="AD5" i="51"/>
  <c r="BT5" i="51"/>
  <c r="BB5" i="51"/>
  <c r="BM5" i="51"/>
  <c r="BX5" i="51"/>
  <c r="Q5" i="51"/>
  <c r="AM5" i="51"/>
  <c r="BI5" i="51"/>
  <c r="AX5" i="51"/>
  <c r="S5" i="51"/>
  <c r="AO5" i="51"/>
  <c r="BK5" i="51"/>
  <c r="AZ5" i="51"/>
  <c r="BV5" i="51"/>
  <c r="AF21" i="39"/>
  <c r="AF20" i="39"/>
  <c r="AF19" i="39"/>
  <c r="AF18" i="39"/>
  <c r="AF17" i="39"/>
  <c r="AF16" i="39"/>
  <c r="AF15" i="39"/>
  <c r="I16" i="39"/>
  <c r="AA10" i="39"/>
  <c r="AO8" i="39" s="1"/>
  <c r="AO9" i="39" s="1"/>
  <c r="AA9" i="39"/>
  <c r="AT9" i="39"/>
  <c r="AA15" i="39"/>
  <c r="AA16" i="39"/>
  <c r="AA26" i="39"/>
  <c r="AA25" i="39"/>
  <c r="AA30" i="39"/>
  <c r="AA29" i="39"/>
  <c r="AA28" i="39"/>
  <c r="AA27" i="39"/>
  <c r="AB30" i="39"/>
  <c r="AB29" i="39"/>
  <c r="AB28" i="39"/>
  <c r="AB27" i="39"/>
  <c r="AB26" i="39"/>
  <c r="AB25" i="39"/>
  <c r="AB24" i="39"/>
  <c r="AB23" i="39"/>
  <c r="AB22" i="39"/>
  <c r="AB21" i="39"/>
  <c r="AB20" i="39"/>
  <c r="AB19" i="39"/>
  <c r="AB18" i="39"/>
  <c r="AB17" i="39"/>
  <c r="AB16" i="39"/>
  <c r="AB15" i="39"/>
  <c r="AB14" i="39"/>
  <c r="I7" i="42"/>
  <c r="AP8" i="39" l="1"/>
  <c r="AP9" i="39" s="1"/>
  <c r="AE8" i="39"/>
  <c r="AE9" i="39" s="1"/>
  <c r="AQ8" i="39"/>
  <c r="AQ9" i="39" s="1"/>
  <c r="AG8" i="39"/>
  <c r="AG9" i="39" s="1"/>
  <c r="AS8" i="39"/>
  <c r="AS9" i="39" s="1"/>
  <c r="AF8" i="39"/>
  <c r="AF9" i="39" s="1"/>
  <c r="AR8" i="39"/>
  <c r="AR9" i="39" s="1"/>
  <c r="AI8" i="39"/>
  <c r="AI9" i="39" s="1"/>
  <c r="AJ8" i="39"/>
  <c r="AJ9" i="39" s="1"/>
  <c r="AK8" i="39"/>
  <c r="AK9" i="39" s="1"/>
  <c r="AL8" i="39"/>
  <c r="AL9" i="39" s="1"/>
  <c r="AM8" i="39"/>
  <c r="AM9" i="39" s="1"/>
  <c r="AH8" i="39"/>
  <c r="AH9" i="39" s="1"/>
  <c r="AR10" i="39"/>
  <c r="AR11" i="39" s="1"/>
  <c r="AN8" i="39"/>
  <c r="AN9" i="39" s="1"/>
  <c r="AA24" i="39"/>
  <c r="AO10" i="39" s="1"/>
  <c r="AO11" i="39" s="1"/>
  <c r="AA23" i="39"/>
  <c r="AM10" i="39" s="1"/>
  <c r="AM11" i="39" s="1"/>
  <c r="AA22" i="39"/>
  <c r="AL10" i="39" s="1"/>
  <c r="AL11" i="39" s="1"/>
  <c r="AA21" i="39"/>
  <c r="AJ10" i="39" s="1"/>
  <c r="AJ11" i="39" s="1"/>
  <c r="AA20" i="39"/>
  <c r="AI10" i="39" s="1"/>
  <c r="AI11" i="39" s="1"/>
  <c r="AA19" i="39"/>
  <c r="AH10" i="39" s="1"/>
  <c r="AH11" i="39" s="1"/>
  <c r="AA18" i="39"/>
  <c r="AF10" i="39" s="1"/>
  <c r="AF11" i="39" s="1"/>
  <c r="AA17" i="39"/>
  <c r="AE10" i="39" s="1"/>
  <c r="AE11" i="39" s="1"/>
  <c r="AA14" i="39"/>
  <c r="H103" i="39" l="1"/>
  <c r="H102" i="39"/>
  <c r="H101" i="39"/>
  <c r="H100" i="39"/>
  <c r="I22" i="39"/>
  <c r="I21" i="39"/>
  <c r="I20" i="39"/>
  <c r="I19" i="39"/>
  <c r="I18" i="39"/>
  <c r="I17" i="39"/>
  <c r="H136" i="39"/>
  <c r="H135" i="39"/>
  <c r="H134" i="39"/>
  <c r="H133" i="39"/>
  <c r="H132" i="39"/>
  <c r="I65" i="39"/>
  <c r="I64" i="39"/>
  <c r="I63" i="39"/>
  <c r="I62" i="39"/>
  <c r="I61" i="39"/>
  <c r="I60" i="39"/>
  <c r="I59" i="39"/>
  <c r="I97" i="39"/>
  <c r="I96" i="39"/>
  <c r="I95" i="39"/>
  <c r="I94" i="39"/>
  <c r="I93" i="39"/>
  <c r="I92" i="39"/>
  <c r="I91" i="39"/>
  <c r="I128" i="39"/>
  <c r="I127" i="39"/>
  <c r="I126" i="39"/>
  <c r="I125" i="39"/>
  <c r="I124" i="39"/>
  <c r="I123" i="39"/>
  <c r="I122" i="39"/>
  <c r="I101" i="39" l="1"/>
  <c r="I133" i="39"/>
  <c r="I134" i="39"/>
  <c r="I102" i="39"/>
  <c r="I103" i="39"/>
  <c r="I135" i="39"/>
  <c r="I136" i="39"/>
  <c r="I100" i="39"/>
  <c r="I132" i="39"/>
  <c r="V117" i="39"/>
  <c r="V118" i="39" s="1"/>
  <c r="R117" i="39"/>
  <c r="R118" i="39" s="1"/>
  <c r="O117" i="39"/>
  <c r="O118" i="39" s="1"/>
  <c r="N117" i="39"/>
  <c r="N118" i="39" s="1"/>
  <c r="M117" i="39"/>
  <c r="M118" i="39" s="1"/>
  <c r="K117" i="39"/>
  <c r="K118" i="39" s="1"/>
  <c r="J117" i="39"/>
  <c r="J118" i="39" s="1"/>
  <c r="G117" i="39"/>
  <c r="G118" i="39" s="1"/>
  <c r="I117" i="39"/>
  <c r="I118" i="39" s="1"/>
  <c r="Q54" i="39"/>
  <c r="Q55" i="39" s="1"/>
  <c r="P54" i="39"/>
  <c r="P55" i="39" s="1"/>
  <c r="T86" i="39"/>
  <c r="T87" i="39" s="1"/>
  <c r="Q86" i="39"/>
  <c r="Q87" i="39" s="1"/>
  <c r="P86" i="39"/>
  <c r="P87" i="39" s="1"/>
  <c r="N86" i="39"/>
  <c r="N87" i="39" s="1"/>
  <c r="M86" i="39"/>
  <c r="M87" i="39" s="1"/>
  <c r="K86" i="39"/>
  <c r="K87" i="39" s="1"/>
  <c r="J86" i="39"/>
  <c r="J87" i="39" s="1"/>
  <c r="H86" i="39"/>
  <c r="H87" i="39" s="1"/>
  <c r="G86" i="39"/>
  <c r="G87" i="39" s="1"/>
  <c r="T54" i="39"/>
  <c r="T55" i="39" s="1"/>
  <c r="H54" i="39"/>
  <c r="H55" i="39" s="1"/>
  <c r="N54" i="39"/>
  <c r="N55" i="39" s="1"/>
  <c r="M54" i="39"/>
  <c r="M55" i="39" s="1"/>
  <c r="K54" i="39"/>
  <c r="K55" i="39" s="1"/>
  <c r="J54" i="39"/>
  <c r="J55" i="39" s="1"/>
  <c r="G54" i="39"/>
  <c r="G55" i="39" s="1"/>
  <c r="V116" i="39"/>
  <c r="U115" i="39"/>
  <c r="U116" i="39" s="1"/>
  <c r="T115" i="39"/>
  <c r="T116" i="39" s="1"/>
  <c r="S115" i="39"/>
  <c r="S116" i="39" s="1"/>
  <c r="R115" i="39"/>
  <c r="R116" i="39" s="1"/>
  <c r="Q115" i="39"/>
  <c r="Q116" i="39" s="1"/>
  <c r="P115" i="39"/>
  <c r="P116" i="39" s="1"/>
  <c r="O115" i="39"/>
  <c r="O116" i="39" s="1"/>
  <c r="N115" i="39"/>
  <c r="N116" i="39" s="1"/>
  <c r="M115" i="39"/>
  <c r="M116" i="39" s="1"/>
  <c r="L115" i="39"/>
  <c r="L116" i="39" s="1"/>
  <c r="K115" i="39"/>
  <c r="K116" i="39" s="1"/>
  <c r="J115" i="39"/>
  <c r="J116" i="39" s="1"/>
  <c r="I115" i="39"/>
  <c r="I116" i="39" s="1"/>
  <c r="H115" i="39"/>
  <c r="H116" i="39" s="1"/>
  <c r="G115" i="39"/>
  <c r="G116" i="39" s="1"/>
  <c r="V85" i="39"/>
  <c r="U84" i="39"/>
  <c r="U85" i="39" s="1"/>
  <c r="T84" i="39"/>
  <c r="T85" i="39" s="1"/>
  <c r="S84" i="39"/>
  <c r="S85" i="39" s="1"/>
  <c r="R84" i="39"/>
  <c r="R85" i="39" s="1"/>
  <c r="Q84" i="39"/>
  <c r="Q85" i="39" s="1"/>
  <c r="P84" i="39"/>
  <c r="P85" i="39" s="1"/>
  <c r="O84" i="39"/>
  <c r="O85" i="39" s="1"/>
  <c r="N84" i="39"/>
  <c r="N85" i="39" s="1"/>
  <c r="M84" i="39"/>
  <c r="M85" i="39" s="1"/>
  <c r="L84" i="39"/>
  <c r="L85" i="39" s="1"/>
  <c r="K84" i="39"/>
  <c r="K85" i="39" s="1"/>
  <c r="J84" i="39"/>
  <c r="J85" i="39" s="1"/>
  <c r="I84" i="39"/>
  <c r="I85" i="39" s="1"/>
  <c r="H84" i="39"/>
  <c r="H85" i="39" s="1"/>
  <c r="G84" i="39"/>
  <c r="G85" i="39" s="1"/>
  <c r="U52" i="39"/>
  <c r="T52" i="39"/>
  <c r="T53" i="39" s="1"/>
  <c r="S52" i="39"/>
  <c r="S53" i="39" s="1"/>
  <c r="R52" i="39"/>
  <c r="R53" i="39" s="1"/>
  <c r="Q52" i="39"/>
  <c r="Q53" i="39" s="1"/>
  <c r="P52" i="39"/>
  <c r="P53" i="39" s="1"/>
  <c r="O52" i="39"/>
  <c r="O53" i="39" s="1"/>
  <c r="N52" i="39"/>
  <c r="M52" i="39"/>
  <c r="L52" i="39"/>
  <c r="K52" i="39"/>
  <c r="K53" i="39" s="1"/>
  <c r="J52" i="39"/>
  <c r="J53" i="39" s="1"/>
  <c r="I52" i="39"/>
  <c r="I53" i="39"/>
  <c r="H52" i="39"/>
  <c r="H53" i="39" s="1"/>
  <c r="G52" i="39"/>
  <c r="G53" i="39" s="1"/>
  <c r="V149" i="39"/>
  <c r="U149" i="39"/>
  <c r="T149" i="39"/>
  <c r="S149" i="39"/>
  <c r="R149" i="39"/>
  <c r="Q149" i="39"/>
  <c r="P149" i="39"/>
  <c r="O149" i="39"/>
  <c r="N149" i="39"/>
  <c r="M149" i="39"/>
  <c r="L149" i="39"/>
  <c r="K149" i="39"/>
  <c r="J149" i="39"/>
  <c r="I149" i="39"/>
  <c r="H149" i="39"/>
  <c r="G149" i="39"/>
  <c r="V147" i="39"/>
  <c r="U146" i="39"/>
  <c r="U147" i="39" s="1"/>
  <c r="T146" i="39"/>
  <c r="T147" i="39" s="1"/>
  <c r="S146" i="39"/>
  <c r="S147" i="39" s="1"/>
  <c r="R146" i="39"/>
  <c r="R147" i="39" s="1"/>
  <c r="Q146" i="39"/>
  <c r="Q147" i="39" s="1"/>
  <c r="P146" i="39"/>
  <c r="P147" i="39" s="1"/>
  <c r="O146" i="39"/>
  <c r="O147" i="39" s="1"/>
  <c r="N146" i="39"/>
  <c r="N147" i="39" s="1"/>
  <c r="M146" i="39"/>
  <c r="M147" i="39" s="1"/>
  <c r="L146" i="39"/>
  <c r="L147" i="39" s="1"/>
  <c r="K146" i="39"/>
  <c r="K147" i="39" s="1"/>
  <c r="J146" i="39"/>
  <c r="J147" i="39" s="1"/>
  <c r="I146" i="39"/>
  <c r="I147" i="39" s="1"/>
  <c r="H146" i="39"/>
  <c r="H147" i="39" s="1"/>
  <c r="G146" i="39"/>
  <c r="G147" i="39" s="1"/>
  <c r="U11" i="39"/>
  <c r="U12" i="39" s="1"/>
  <c r="V10" i="39"/>
  <c r="R11" i="39"/>
  <c r="R12" i="39" s="1"/>
  <c r="P11" i="39"/>
  <c r="P12" i="39" s="1"/>
  <c r="O11" i="39"/>
  <c r="O12" i="39" s="1"/>
  <c r="M11" i="39"/>
  <c r="M12" i="39" s="1"/>
  <c r="L11" i="39"/>
  <c r="L12" i="39" s="1"/>
  <c r="J11" i="39"/>
  <c r="J12" i="39" s="1"/>
  <c r="H11" i="39"/>
  <c r="H12" i="39" s="1"/>
  <c r="L53" i="39"/>
  <c r="M53" i="39"/>
  <c r="N53" i="39"/>
  <c r="U53" i="39"/>
  <c r="V53" i="39"/>
  <c r="G11" i="39"/>
  <c r="G12" i="39" s="1"/>
  <c r="H9" i="39" l="1"/>
  <c r="H10" i="39" s="1"/>
  <c r="U9" i="39"/>
  <c r="U10" i="39" s="1"/>
  <c r="T9" i="39"/>
  <c r="T10" i="39" s="1"/>
  <c r="S9" i="39"/>
  <c r="S10" i="39" s="1"/>
  <c r="R9" i="39"/>
  <c r="R10" i="39" s="1"/>
  <c r="Q9" i="39"/>
  <c r="Q10" i="39" s="1"/>
  <c r="P9" i="39"/>
  <c r="P10" i="39" s="1"/>
  <c r="O9" i="39"/>
  <c r="O10" i="39" s="1"/>
  <c r="N9" i="39"/>
  <c r="N10" i="39" s="1"/>
  <c r="M9" i="39"/>
  <c r="M10" i="39" s="1"/>
  <c r="L9" i="39"/>
  <c r="L10" i="39" s="1"/>
  <c r="K9" i="39"/>
  <c r="K10" i="39" s="1"/>
  <c r="J9" i="39"/>
  <c r="J10" i="39" s="1"/>
  <c r="I9" i="39"/>
  <c r="I10" i="39" s="1"/>
  <c r="G9" i="39"/>
  <c r="G10" i="39" s="1"/>
  <c r="O18" i="18" l="1"/>
  <c r="L16" i="18"/>
  <c r="M18" i="18" s="1"/>
  <c r="J16" i="18"/>
  <c r="K18" i="18" s="1"/>
  <c r="H16" i="18"/>
  <c r="I17" i="18" s="1"/>
  <c r="F16" i="18"/>
  <c r="G17" i="18" s="1"/>
  <c r="D16" i="18"/>
  <c r="E18" i="18" s="1"/>
  <c r="B16" i="18"/>
  <c r="C17" i="18" s="1"/>
  <c r="O17" i="18"/>
  <c r="C43" i="46"/>
  <c r="D43" i="46" s="1"/>
  <c r="C65" i="46"/>
  <c r="D65" i="46" s="1"/>
  <c r="C21" i="46"/>
  <c r="D21" i="46" s="1"/>
  <c r="M17" i="18" l="1"/>
  <c r="K17" i="18"/>
  <c r="I18" i="18"/>
  <c r="G18" i="18"/>
  <c r="E17" i="18"/>
  <c r="C18" i="18"/>
  <c r="D61" i="46"/>
  <c r="D60" i="46"/>
  <c r="D59" i="46"/>
  <c r="D58" i="46"/>
  <c r="D57" i="46"/>
  <c r="D56" i="46"/>
  <c r="D55" i="46"/>
  <c r="D54" i="46"/>
  <c r="D53" i="46"/>
  <c r="D52" i="46"/>
  <c r="D51" i="46"/>
  <c r="D50" i="46"/>
  <c r="G61" i="46"/>
  <c r="G60" i="46"/>
  <c r="G59" i="46"/>
  <c r="G58" i="46"/>
  <c r="G57" i="46"/>
  <c r="G56" i="46"/>
  <c r="G55" i="46"/>
  <c r="G54" i="46"/>
  <c r="G53" i="46"/>
  <c r="G52" i="46"/>
  <c r="G51" i="46"/>
  <c r="G50" i="46"/>
  <c r="J61" i="46"/>
  <c r="J60" i="46"/>
  <c r="J59" i="46"/>
  <c r="J58" i="46"/>
  <c r="J57" i="46"/>
  <c r="J56" i="46"/>
  <c r="J55" i="46"/>
  <c r="J54" i="46"/>
  <c r="J53" i="46"/>
  <c r="J52" i="46"/>
  <c r="J51" i="46"/>
  <c r="J50" i="46"/>
  <c r="S61" i="46"/>
  <c r="S60" i="46"/>
  <c r="S59" i="46"/>
  <c r="S58" i="46"/>
  <c r="S57" i="46"/>
  <c r="S56" i="46"/>
  <c r="S55" i="46"/>
  <c r="S54" i="46"/>
  <c r="S53" i="46"/>
  <c r="S52" i="46"/>
  <c r="S51" i="46"/>
  <c r="S50" i="46"/>
  <c r="S40" i="46"/>
  <c r="S39" i="46"/>
  <c r="S38" i="46"/>
  <c r="S37" i="46"/>
  <c r="S36" i="46"/>
  <c r="S35" i="46"/>
  <c r="S34" i="46"/>
  <c r="S33" i="46"/>
  <c r="S32" i="46"/>
  <c r="S31" i="46"/>
  <c r="S30" i="46"/>
  <c r="S29" i="46"/>
  <c r="P40" i="46"/>
  <c r="P39" i="46"/>
  <c r="P38" i="46"/>
  <c r="P37" i="46"/>
  <c r="P36" i="46"/>
  <c r="P35" i="46"/>
  <c r="P34" i="46"/>
  <c r="P33" i="46"/>
  <c r="P32" i="46"/>
  <c r="P31" i="46"/>
  <c r="P30" i="46"/>
  <c r="P29" i="46"/>
  <c r="M40" i="46"/>
  <c r="M39" i="46"/>
  <c r="M38" i="46"/>
  <c r="M37" i="46"/>
  <c r="M36" i="46"/>
  <c r="M35" i="46"/>
  <c r="M34" i="46"/>
  <c r="M33" i="46"/>
  <c r="M32" i="46"/>
  <c r="M31" i="46"/>
  <c r="M30" i="46"/>
  <c r="M29" i="46"/>
  <c r="J40" i="46"/>
  <c r="J39" i="46"/>
  <c r="J38" i="46"/>
  <c r="J37" i="46"/>
  <c r="J36" i="46"/>
  <c r="J35" i="46"/>
  <c r="J34" i="46"/>
  <c r="J33" i="46"/>
  <c r="J32" i="46"/>
  <c r="J31" i="46"/>
  <c r="J30" i="46"/>
  <c r="J29" i="46"/>
  <c r="G40" i="46"/>
  <c r="G39" i="46"/>
  <c r="G38" i="46"/>
  <c r="G37" i="46"/>
  <c r="G36" i="46"/>
  <c r="G35" i="46"/>
  <c r="G34" i="46"/>
  <c r="G33" i="46"/>
  <c r="G32" i="46"/>
  <c r="G31" i="46"/>
  <c r="G30" i="46"/>
  <c r="G29" i="46"/>
  <c r="D40" i="46"/>
  <c r="D39" i="46"/>
  <c r="D38" i="46"/>
  <c r="D37" i="46"/>
  <c r="D36" i="46"/>
  <c r="D35" i="46"/>
  <c r="D34" i="46"/>
  <c r="D33" i="46"/>
  <c r="D32" i="46"/>
  <c r="D31" i="46"/>
  <c r="D30" i="46"/>
  <c r="D29" i="46"/>
  <c r="P18" i="46"/>
  <c r="P17" i="46"/>
  <c r="P16" i="46"/>
  <c r="P15" i="46"/>
  <c r="P14" i="46"/>
  <c r="P13" i="46"/>
  <c r="P12" i="46"/>
  <c r="P11" i="46"/>
  <c r="P10" i="46"/>
  <c r="P9" i="46"/>
  <c r="P8" i="46"/>
  <c r="P7" i="46"/>
  <c r="M18" i="46"/>
  <c r="M17" i="46"/>
  <c r="M16" i="46"/>
  <c r="M15" i="46"/>
  <c r="M14" i="46"/>
  <c r="M13" i="46"/>
  <c r="M12" i="46"/>
  <c r="M11" i="46"/>
  <c r="M10" i="46"/>
  <c r="M9" i="46"/>
  <c r="M8" i="46"/>
  <c r="M7" i="46"/>
  <c r="J18" i="46"/>
  <c r="J17" i="46"/>
  <c r="J16" i="46"/>
  <c r="J15" i="46"/>
  <c r="J14" i="46"/>
  <c r="J13" i="46"/>
  <c r="J12" i="46"/>
  <c r="J11" i="46"/>
  <c r="J10" i="46"/>
  <c r="J9" i="46"/>
  <c r="J8" i="46"/>
  <c r="J7" i="46"/>
  <c r="G18" i="46"/>
  <c r="G17" i="46"/>
  <c r="G16" i="46"/>
  <c r="G15" i="46"/>
  <c r="G14" i="46"/>
  <c r="G13" i="46"/>
  <c r="G12" i="46"/>
  <c r="G11" i="46"/>
  <c r="G10" i="46"/>
  <c r="G9" i="46"/>
  <c r="G8" i="46"/>
  <c r="G7" i="46"/>
  <c r="D18" i="46"/>
  <c r="D17" i="46"/>
  <c r="D16" i="46"/>
  <c r="D15" i="46"/>
  <c r="D14" i="46"/>
  <c r="D13" i="46"/>
  <c r="D12" i="46"/>
  <c r="D11" i="46"/>
  <c r="D10" i="46"/>
  <c r="D9" i="46"/>
  <c r="D8" i="46"/>
  <c r="D7" i="46"/>
  <c r="M61" i="46"/>
  <c r="M60" i="46"/>
  <c r="M59" i="46"/>
  <c r="M58" i="46"/>
  <c r="M57" i="46"/>
  <c r="M56" i="46"/>
  <c r="M55" i="46"/>
  <c r="M54" i="46"/>
  <c r="M53" i="46"/>
  <c r="M52" i="46"/>
  <c r="M51" i="46"/>
  <c r="M50" i="46"/>
  <c r="P61" i="46"/>
  <c r="P60" i="46"/>
  <c r="P59" i="46"/>
  <c r="P58" i="46"/>
  <c r="P57" i="46"/>
  <c r="P56" i="46"/>
  <c r="P55" i="46"/>
  <c r="P54" i="46"/>
  <c r="P53" i="46"/>
  <c r="P52" i="46"/>
  <c r="P51" i="46"/>
  <c r="P50" i="46"/>
  <c r="V61" i="46"/>
  <c r="V60" i="46"/>
  <c r="V59" i="46"/>
  <c r="V58" i="46"/>
  <c r="V57" i="46"/>
  <c r="V56" i="46"/>
  <c r="V55" i="46"/>
  <c r="V54" i="46"/>
  <c r="V53" i="46"/>
  <c r="V52" i="46"/>
  <c r="V51" i="46"/>
  <c r="V50" i="46"/>
  <c r="V40" i="46"/>
  <c r="V39" i="46"/>
  <c r="V38" i="46"/>
  <c r="V37" i="46"/>
  <c r="V36" i="46"/>
  <c r="V35" i="46"/>
  <c r="V34" i="46"/>
  <c r="V33" i="46"/>
  <c r="V32" i="46"/>
  <c r="V31" i="46"/>
  <c r="V30" i="46"/>
  <c r="V29" i="46"/>
  <c r="V18" i="46"/>
  <c r="V17" i="46"/>
  <c r="V16" i="46"/>
  <c r="V15" i="46"/>
  <c r="V14" i="46"/>
  <c r="V13" i="46"/>
  <c r="V12" i="46"/>
  <c r="V11" i="46"/>
  <c r="V10" i="46"/>
  <c r="V9" i="46"/>
  <c r="V8" i="46"/>
  <c r="V7" i="46"/>
  <c r="S7" i="46"/>
  <c r="S8" i="46"/>
  <c r="S9" i="46"/>
  <c r="S10" i="46"/>
  <c r="S11" i="46"/>
  <c r="S12" i="46"/>
  <c r="S13" i="46"/>
  <c r="S14" i="46"/>
  <c r="S15" i="46"/>
  <c r="S16" i="46"/>
  <c r="S17" i="46"/>
  <c r="S18" i="46"/>
  <c r="C68" i="46" l="1"/>
  <c r="D68" i="46" s="1"/>
  <c r="C46" i="46"/>
  <c r="D46" i="46" s="1"/>
  <c r="C24" i="46"/>
  <c r="D24" i="46" s="1"/>
  <c r="S27" i="31"/>
  <c r="S26" i="31"/>
  <c r="S25" i="31"/>
  <c r="S24" i="31"/>
  <c r="S23" i="31"/>
  <c r="S22" i="31"/>
  <c r="S19" i="31"/>
  <c r="S18" i="31"/>
  <c r="S17" i="31"/>
  <c r="S16" i="31"/>
  <c r="S15" i="31"/>
  <c r="S14" i="31"/>
  <c r="S10" i="31"/>
  <c r="S9" i="31"/>
  <c r="S8" i="31"/>
  <c r="S7" i="31"/>
  <c r="S6" i="31"/>
  <c r="S5" i="31"/>
  <c r="Z22" i="45"/>
  <c r="Z21" i="45"/>
  <c r="Z20" i="45"/>
  <c r="Z19" i="45"/>
  <c r="Z18" i="45"/>
  <c r="Z17" i="45"/>
  <c r="Z16" i="45"/>
  <c r="W22" i="45"/>
  <c r="W21" i="45"/>
  <c r="W20" i="45"/>
  <c r="W19" i="45"/>
  <c r="W18" i="45"/>
  <c r="W17" i="45"/>
  <c r="W16" i="45"/>
  <c r="T22" i="45"/>
  <c r="T21" i="45"/>
  <c r="T20" i="45"/>
  <c r="T19" i="45"/>
  <c r="T18" i="45"/>
  <c r="T17" i="45"/>
  <c r="T16" i="45"/>
  <c r="Q22" i="45"/>
  <c r="Q21" i="45"/>
  <c r="Q20" i="45"/>
  <c r="Q19" i="45"/>
  <c r="Q18" i="45"/>
  <c r="Q17" i="45"/>
  <c r="Q16" i="45"/>
  <c r="N22" i="45"/>
  <c r="N21" i="45"/>
  <c r="N20" i="45"/>
  <c r="N19" i="45"/>
  <c r="N18" i="45"/>
  <c r="N17" i="45"/>
  <c r="N16" i="45"/>
  <c r="K22" i="45"/>
  <c r="K21" i="45"/>
  <c r="K20" i="45"/>
  <c r="K19" i="45"/>
  <c r="K18" i="45"/>
  <c r="K17" i="45"/>
  <c r="K16" i="45"/>
  <c r="H22" i="45"/>
  <c r="H21" i="45"/>
  <c r="H20" i="45"/>
  <c r="H19" i="45"/>
  <c r="H18" i="45"/>
  <c r="H17" i="45"/>
  <c r="H16" i="45"/>
  <c r="E22" i="45"/>
  <c r="E21" i="45"/>
  <c r="E20" i="45"/>
  <c r="E19" i="45"/>
  <c r="E18" i="45"/>
  <c r="E17" i="45"/>
  <c r="E16" i="45"/>
  <c r="Z12" i="45"/>
  <c r="Z11" i="45"/>
  <c r="Z10" i="45"/>
  <c r="Z9" i="45"/>
  <c r="Z8" i="45"/>
  <c r="Z7" i="45"/>
  <c r="Z6" i="45"/>
  <c r="W12" i="45"/>
  <c r="W11" i="45"/>
  <c r="W10" i="45"/>
  <c r="W9" i="45"/>
  <c r="W8" i="45"/>
  <c r="W7" i="45"/>
  <c r="W6" i="45"/>
  <c r="AC33" i="45"/>
  <c r="AC32" i="45"/>
  <c r="AC31" i="45"/>
  <c r="AC30" i="45"/>
  <c r="AC29" i="45"/>
  <c r="AC28" i="45"/>
  <c r="AC27" i="45"/>
  <c r="AC26" i="45"/>
  <c r="T12" i="45"/>
  <c r="T11" i="45"/>
  <c r="T10" i="45"/>
  <c r="T9" i="45"/>
  <c r="T8" i="45"/>
  <c r="T7" i="45"/>
  <c r="T6" i="45"/>
  <c r="Q12" i="45"/>
  <c r="Q11" i="45"/>
  <c r="Q10" i="45"/>
  <c r="Q9" i="45"/>
  <c r="Q8" i="45"/>
  <c r="Q7" i="45"/>
  <c r="Q6" i="45"/>
  <c r="N12" i="45"/>
  <c r="N11" i="45"/>
  <c r="N10" i="45"/>
  <c r="N9" i="45"/>
  <c r="N8" i="45"/>
  <c r="N7" i="45"/>
  <c r="N6" i="45"/>
  <c r="K12" i="45"/>
  <c r="K11" i="45"/>
  <c r="K10" i="45"/>
  <c r="K9" i="45"/>
  <c r="K8" i="45"/>
  <c r="K7" i="45"/>
  <c r="K6" i="45"/>
  <c r="H12" i="45"/>
  <c r="H11" i="45"/>
  <c r="H10" i="45"/>
  <c r="H9" i="45"/>
  <c r="H8" i="45"/>
  <c r="H7" i="45"/>
  <c r="H6" i="45"/>
  <c r="E12" i="45"/>
  <c r="E11" i="45"/>
  <c r="E10" i="45"/>
  <c r="E9" i="45"/>
  <c r="E8" i="45"/>
  <c r="E7" i="45"/>
  <c r="E6" i="45"/>
  <c r="Z33" i="45"/>
  <c r="Z32" i="45"/>
  <c r="Z31" i="45"/>
  <c r="Z30" i="45"/>
  <c r="Z29" i="45"/>
  <c r="Z28" i="45"/>
  <c r="Z27" i="45"/>
  <c r="Z26" i="45"/>
  <c r="W33" i="45"/>
  <c r="W32" i="45"/>
  <c r="W31" i="45"/>
  <c r="W30" i="45"/>
  <c r="W29" i="45"/>
  <c r="W28" i="45"/>
  <c r="W27" i="45"/>
  <c r="W26" i="45"/>
  <c r="T33" i="45"/>
  <c r="T32" i="45"/>
  <c r="T31" i="45"/>
  <c r="T30" i="45"/>
  <c r="T29" i="45"/>
  <c r="T28" i="45"/>
  <c r="T27" i="45"/>
  <c r="T26" i="45"/>
  <c r="Q33" i="45"/>
  <c r="Q32" i="45"/>
  <c r="Q31" i="45"/>
  <c r="Q30" i="45"/>
  <c r="Q29" i="45"/>
  <c r="Q28" i="45"/>
  <c r="Q27" i="45"/>
  <c r="Q26" i="45"/>
  <c r="N33" i="45"/>
  <c r="N32" i="45"/>
  <c r="N31" i="45"/>
  <c r="N30" i="45"/>
  <c r="N29" i="45"/>
  <c r="N28" i="45"/>
  <c r="N27" i="45"/>
  <c r="N26" i="45"/>
  <c r="K33" i="45" l="1"/>
  <c r="K32" i="45"/>
  <c r="K31" i="45"/>
  <c r="K30" i="45"/>
  <c r="K29" i="45"/>
  <c r="K28" i="45"/>
  <c r="K27" i="45"/>
  <c r="K26" i="45"/>
  <c r="H33" i="45"/>
  <c r="H32" i="45"/>
  <c r="H31" i="45"/>
  <c r="H30" i="45"/>
  <c r="H29" i="45"/>
  <c r="H28" i="45"/>
  <c r="H27" i="45"/>
  <c r="H26" i="45"/>
  <c r="E33" i="45"/>
  <c r="E32" i="45"/>
  <c r="E31" i="45"/>
  <c r="E30" i="45"/>
  <c r="E29" i="45"/>
  <c r="E28" i="45"/>
  <c r="E27" i="45"/>
  <c r="E26" i="45"/>
  <c r="E75" i="45"/>
  <c r="E74" i="45"/>
  <c r="E73" i="45"/>
  <c r="E72" i="45"/>
  <c r="E71" i="45"/>
  <c r="E70" i="45"/>
  <c r="E69" i="45"/>
  <c r="E68" i="45"/>
  <c r="I65" i="45"/>
  <c r="H28" i="43"/>
  <c r="H26" i="43"/>
  <c r="H24" i="43"/>
  <c r="G28" i="43"/>
  <c r="G26" i="43"/>
  <c r="G24" i="43"/>
  <c r="F28" i="43"/>
  <c r="F26" i="43"/>
  <c r="F24" i="43"/>
  <c r="E28" i="43"/>
  <c r="E26" i="43"/>
  <c r="E24" i="43"/>
  <c r="D28" i="43"/>
  <c r="D26" i="43"/>
  <c r="D24" i="43"/>
  <c r="C28" i="43"/>
  <c r="C26" i="43"/>
  <c r="C24" i="43"/>
  <c r="B24" i="43"/>
  <c r="B26" i="43"/>
  <c r="B28" i="43"/>
  <c r="K6" i="41" l="1"/>
  <c r="K7" i="41"/>
  <c r="K5" i="41"/>
  <c r="K4" i="41"/>
  <c r="J6" i="41"/>
  <c r="J7" i="41"/>
  <c r="J5" i="41"/>
  <c r="J4" i="41"/>
  <c r="S26" i="42" l="1"/>
  <c r="S24" i="42"/>
  <c r="R23" i="42"/>
  <c r="R22" i="42"/>
  <c r="S22" i="42" s="1"/>
  <c r="M26" i="42"/>
  <c r="M24" i="42"/>
  <c r="L23" i="42"/>
  <c r="L22" i="42"/>
  <c r="M22" i="42" s="1"/>
  <c r="G26" i="42"/>
  <c r="G24" i="42"/>
  <c r="F23" i="42"/>
  <c r="F22" i="42"/>
  <c r="G22" i="42" s="1"/>
  <c r="U23" i="42"/>
  <c r="P26" i="42"/>
  <c r="P24" i="42"/>
  <c r="O23" i="42"/>
  <c r="O22" i="42"/>
  <c r="P22" i="42" s="1"/>
  <c r="J26" i="42"/>
  <c r="J24" i="42"/>
  <c r="I23" i="42"/>
  <c r="I22" i="42"/>
  <c r="J22" i="42" s="1"/>
  <c r="D26" i="42"/>
  <c r="D24" i="42"/>
  <c r="C23" i="42"/>
  <c r="C22" i="42"/>
  <c r="D22" i="42" s="1"/>
  <c r="V18" i="42"/>
  <c r="V16" i="42"/>
  <c r="U15" i="42"/>
  <c r="U14" i="42"/>
  <c r="V14" i="42" s="1"/>
  <c r="V10" i="42"/>
  <c r="U7" i="42"/>
  <c r="J16" i="42"/>
  <c r="J18" i="42"/>
  <c r="S18" i="42" l="1"/>
  <c r="S16" i="42"/>
  <c r="P18" i="42"/>
  <c r="P16" i="42"/>
  <c r="M18" i="42"/>
  <c r="M16" i="42"/>
  <c r="G18" i="42"/>
  <c r="G16" i="42"/>
  <c r="R14" i="42"/>
  <c r="S14" i="42" s="1"/>
  <c r="O14" i="42"/>
  <c r="P14" i="42" s="1"/>
  <c r="L14" i="42"/>
  <c r="M14" i="42" s="1"/>
  <c r="I14" i="42"/>
  <c r="J14" i="42" s="1"/>
  <c r="C14" i="42"/>
  <c r="D14" i="42" s="1"/>
  <c r="R15" i="42"/>
  <c r="O15" i="42"/>
  <c r="L15" i="42"/>
  <c r="I15" i="42"/>
  <c r="F15" i="42"/>
  <c r="F14" i="42"/>
  <c r="G14" i="42" s="1"/>
  <c r="D18" i="42"/>
  <c r="D16" i="42"/>
  <c r="C15" i="42"/>
  <c r="S10" i="42" l="1"/>
  <c r="S8" i="42"/>
  <c r="P10" i="42"/>
  <c r="P8" i="42"/>
  <c r="M10" i="42"/>
  <c r="M8" i="42"/>
  <c r="R7" i="42"/>
  <c r="O7" i="42"/>
  <c r="L7" i="42"/>
  <c r="R6" i="42"/>
  <c r="S6" i="42" s="1"/>
  <c r="O6" i="42"/>
  <c r="P6" i="42" s="1"/>
  <c r="L6" i="42"/>
  <c r="M6" i="42" s="1"/>
  <c r="J10" i="42"/>
  <c r="J8" i="42"/>
  <c r="I6" i="42"/>
  <c r="J6" i="42" s="1"/>
  <c r="G10" i="42"/>
  <c r="G8" i="42"/>
  <c r="F6" i="42"/>
  <c r="G6" i="42" s="1"/>
  <c r="F7" i="42"/>
  <c r="C6" i="42" l="1"/>
  <c r="D6" i="42" s="1"/>
  <c r="D8" i="42" l="1"/>
  <c r="D10" i="42"/>
  <c r="K8" i="41" l="1"/>
  <c r="K9" i="41"/>
  <c r="K11" i="41"/>
  <c r="K12" i="41"/>
  <c r="K13" i="41"/>
  <c r="K14" i="41"/>
  <c r="K15" i="41"/>
  <c r="K3" i="41"/>
  <c r="J8" i="41"/>
  <c r="J9" i="41"/>
  <c r="J10" i="41"/>
  <c r="J11" i="41"/>
  <c r="L11" i="41" s="1"/>
  <c r="J12" i="41"/>
  <c r="J13" i="41"/>
  <c r="J14" i="41"/>
  <c r="J15" i="41"/>
  <c r="J3" i="41"/>
  <c r="L13" i="41" l="1"/>
  <c r="S29" i="28" l="1"/>
  <c r="S28" i="28"/>
  <c r="S27" i="28"/>
  <c r="S26" i="28"/>
  <c r="S25" i="28"/>
  <c r="S19" i="28"/>
  <c r="S18" i="28"/>
  <c r="S17" i="28"/>
  <c r="S16" i="28"/>
  <c r="S15" i="28"/>
  <c r="S9" i="28"/>
  <c r="S8" i="28" l="1"/>
  <c r="S7" i="28"/>
  <c r="S6" i="28"/>
  <c r="S5" i="28"/>
  <c r="L15" i="37" l="1"/>
  <c r="L16" i="37" s="1"/>
  <c r="K15" i="37"/>
  <c r="K16" i="37" s="1"/>
  <c r="J15" i="37"/>
  <c r="J16" i="37" s="1"/>
  <c r="I15" i="37"/>
  <c r="I16" i="37" s="1"/>
  <c r="H15" i="37"/>
  <c r="H16" i="37" s="1"/>
  <c r="G15" i="37"/>
  <c r="G16" i="37" s="1"/>
  <c r="F15" i="37"/>
  <c r="F16" i="37" s="1"/>
  <c r="L7" i="37"/>
  <c r="L8" i="37" s="1"/>
  <c r="K7" i="37"/>
  <c r="K8" i="37" s="1"/>
  <c r="J7" i="37"/>
  <c r="J8" i="37" s="1"/>
  <c r="I7" i="37"/>
  <c r="I8" i="37" s="1"/>
  <c r="H7" i="37"/>
  <c r="H8" i="37" s="1"/>
  <c r="G7" i="37"/>
  <c r="G8" i="37" s="1"/>
  <c r="F7" i="37"/>
  <c r="F8" i="37" s="1"/>
  <c r="R9" i="16" l="1"/>
  <c r="Q9" i="16"/>
  <c r="R12" i="16"/>
  <c r="Q12" i="16"/>
  <c r="R6" i="16"/>
  <c r="Q6" i="16"/>
  <c r="P11" i="16"/>
  <c r="P8" i="16"/>
  <c r="P5" i="16"/>
  <c r="P23" i="31"/>
  <c r="P24" i="31"/>
  <c r="P25" i="31"/>
  <c r="P26" i="31"/>
  <c r="P27" i="31"/>
  <c r="P22" i="31"/>
  <c r="P15" i="31"/>
  <c r="P16" i="31"/>
  <c r="P17" i="31"/>
  <c r="P18" i="31"/>
  <c r="P19" i="31"/>
  <c r="P14" i="31"/>
  <c r="P6" i="31"/>
  <c r="P7" i="31"/>
  <c r="P8" i="31"/>
  <c r="P9" i="31"/>
  <c r="P10" i="31"/>
  <c r="P5" i="31"/>
  <c r="P25" i="28"/>
  <c r="P5" i="28"/>
  <c r="P15" i="28"/>
  <c r="P27" i="28"/>
  <c r="P28" i="28"/>
  <c r="P29" i="28"/>
  <c r="P26" i="28"/>
  <c r="P17" i="28"/>
  <c r="P18" i="28"/>
  <c r="P19" i="28"/>
  <c r="P16" i="28"/>
  <c r="P7" i="28"/>
  <c r="P8" i="28"/>
  <c r="P9" i="28"/>
  <c r="P6" i="28"/>
  <c r="F7" i="34"/>
  <c r="E7" i="34"/>
  <c r="D7" i="34"/>
  <c r="C7" i="34"/>
  <c r="B7" i="34"/>
  <c r="I6" i="18"/>
  <c r="I5" i="18"/>
  <c r="M12" i="17"/>
  <c r="M9" i="17"/>
  <c r="M6" i="17"/>
  <c r="K9" i="19"/>
  <c r="K8" i="19"/>
  <c r="K7" i="19"/>
  <c r="K6" i="19"/>
  <c r="K5" i="19"/>
  <c r="M29" i="28"/>
  <c r="M28" i="28"/>
  <c r="M27" i="28"/>
  <c r="M26" i="28"/>
  <c r="M25" i="28"/>
  <c r="M19" i="28"/>
  <c r="M18" i="28"/>
  <c r="M17" i="28"/>
  <c r="M16" i="28"/>
  <c r="M15" i="28"/>
  <c r="M9" i="28"/>
  <c r="M8" i="28"/>
  <c r="M7" i="28"/>
  <c r="M6" i="28"/>
  <c r="M5" i="28"/>
  <c r="M27" i="31"/>
  <c r="M26" i="31"/>
  <c r="M25" i="31"/>
  <c r="M24" i="31"/>
  <c r="M23" i="31"/>
  <c r="M22" i="31"/>
  <c r="M19" i="31"/>
  <c r="M18" i="31"/>
  <c r="M17" i="31"/>
  <c r="M16" i="31"/>
  <c r="M15" i="31"/>
  <c r="M14" i="31"/>
  <c r="M10" i="31"/>
  <c r="M9" i="31"/>
  <c r="M8" i="31"/>
  <c r="M7" i="31"/>
  <c r="M6" i="31"/>
  <c r="M5" i="31"/>
  <c r="M11" i="29"/>
  <c r="M8" i="29"/>
  <c r="M5" i="29"/>
  <c r="G6" i="18"/>
  <c r="G5" i="18"/>
  <c r="J27" i="31"/>
  <c r="J26" i="31"/>
  <c r="J25" i="31"/>
  <c r="J24" i="31"/>
  <c r="J23" i="31"/>
  <c r="G27" i="31"/>
  <c r="G26" i="31"/>
  <c r="G25" i="31"/>
  <c r="G24" i="31"/>
  <c r="G23" i="31"/>
  <c r="D24" i="31"/>
  <c r="D25" i="31"/>
  <c r="D26" i="31"/>
  <c r="D27" i="31"/>
  <c r="D23" i="31"/>
  <c r="J19" i="31"/>
  <c r="J18" i="31"/>
  <c r="J17" i="31"/>
  <c r="J16" i="31"/>
  <c r="J15" i="31"/>
  <c r="G19" i="31"/>
  <c r="G18" i="31"/>
  <c r="G17" i="31"/>
  <c r="G16" i="31"/>
  <c r="G15" i="31"/>
  <c r="D16" i="31"/>
  <c r="D17" i="31"/>
  <c r="D18" i="31"/>
  <c r="D19" i="31"/>
  <c r="D15" i="31"/>
  <c r="J10" i="31"/>
  <c r="J9" i="31"/>
  <c r="J8" i="31"/>
  <c r="J7" i="31"/>
  <c r="J6" i="31"/>
  <c r="G10" i="31"/>
  <c r="G9" i="31"/>
  <c r="G8" i="31"/>
  <c r="G7" i="31"/>
  <c r="G6" i="31"/>
  <c r="D7" i="31"/>
  <c r="D8" i="31"/>
  <c r="D9" i="31"/>
  <c r="D10" i="31"/>
  <c r="D6" i="31"/>
  <c r="J12" i="17"/>
  <c r="J9" i="17"/>
  <c r="J6" i="17"/>
  <c r="G12" i="17"/>
  <c r="G9" i="17"/>
  <c r="G6" i="17"/>
  <c r="D12" i="17"/>
  <c r="D9" i="17"/>
  <c r="D6" i="17"/>
  <c r="G11" i="16"/>
  <c r="G8" i="16"/>
  <c r="G5" i="16"/>
  <c r="D11" i="16"/>
  <c r="J11" i="16"/>
  <c r="D8" i="16"/>
  <c r="J8" i="16"/>
  <c r="D5" i="16"/>
  <c r="J5" i="16"/>
  <c r="V26" i="42"/>
  <c r="U22" i="42"/>
  <c r="V22" i="42" s="1"/>
  <c r="V24" i="42"/>
</calcChain>
</file>

<file path=xl/comments1.xml><?xml version="1.0" encoding="utf-8"?>
<comments xmlns="http://schemas.openxmlformats.org/spreadsheetml/2006/main">
  <authors>
    <author>Kevin Bright</author>
  </authors>
  <commentList>
    <comment ref="A3" authorId="0" shapeId="0">
      <text>
        <r>
          <rPr>
            <b/>
            <sz val="9"/>
            <color indexed="81"/>
            <rFont val="Tahoma"/>
            <family val="2"/>
          </rPr>
          <t>Kevin Bright:</t>
        </r>
        <r>
          <rPr>
            <sz val="9"/>
            <color indexed="81"/>
            <rFont val="Tahoma"/>
            <family val="2"/>
          </rPr>
          <t xml:space="preserve">
Only state tax collections</t>
        </r>
      </text>
    </comment>
    <comment ref="B11" authorId="0" shapeId="0">
      <text>
        <r>
          <rPr>
            <b/>
            <sz val="9"/>
            <color indexed="81"/>
            <rFont val="Tahoma"/>
            <family val="2"/>
          </rPr>
          <t>Kevin Bright:</t>
        </r>
        <r>
          <rPr>
            <sz val="9"/>
            <color indexed="81"/>
            <rFont val="Tahoma"/>
            <family val="2"/>
          </rPr>
          <t xml:space="preserve">
Includes Rochester property tax
</t>
        </r>
      </text>
    </comment>
    <comment ref="E12" authorId="0" shapeId="0">
      <text>
        <r>
          <rPr>
            <b/>
            <sz val="9"/>
            <color indexed="81"/>
            <rFont val="Tahoma"/>
            <family val="2"/>
          </rPr>
          <t>Kevin Bright:</t>
        </r>
        <r>
          <rPr>
            <sz val="9"/>
            <color indexed="81"/>
            <rFont val="Tahoma"/>
            <family val="2"/>
          </rPr>
          <t xml:space="preserve">
County sales tax started in 2014</t>
        </r>
      </text>
    </comment>
    <comment ref="H12" authorId="0" shapeId="0">
      <text>
        <r>
          <rPr>
            <b/>
            <sz val="9"/>
            <color indexed="81"/>
            <rFont val="Tahoma"/>
            <family val="2"/>
          </rPr>
          <t>Kevin Bright:</t>
        </r>
        <r>
          <rPr>
            <sz val="9"/>
            <color indexed="81"/>
            <rFont val="Tahoma"/>
            <family val="2"/>
          </rPr>
          <t xml:space="preserve">
Increased from 0.25% to 0.5% in 2017</t>
        </r>
      </text>
    </comment>
    <comment ref="G15" authorId="0" shapeId="0">
      <text>
        <r>
          <rPr>
            <b/>
            <sz val="9"/>
            <color indexed="81"/>
            <rFont val="Tahoma"/>
            <family val="2"/>
          </rPr>
          <t>Kevin Bright:</t>
        </r>
        <r>
          <rPr>
            <sz val="9"/>
            <color indexed="81"/>
            <rFont val="Tahoma"/>
            <family val="2"/>
          </rPr>
          <t xml:space="preserve">
Tax increased from 0.5% to 0.75% on 1/1/16</t>
        </r>
      </text>
    </comment>
  </commentList>
</comments>
</file>

<file path=xl/comments2.xml><?xml version="1.0" encoding="utf-8"?>
<comments xmlns="http://schemas.openxmlformats.org/spreadsheetml/2006/main">
  <authors>
    <author>Erin Spaeth</author>
  </authors>
  <commentList>
    <comment ref="A12" authorId="0" shapeId="0">
      <text>
        <r>
          <rPr>
            <sz val="9"/>
            <color rgb="FF000000"/>
            <rFont val="Tahoma"/>
            <family val="2"/>
          </rPr>
          <t>From Parks and Recreation: "Parks and Flood Control Lands function as Park Area."</t>
        </r>
      </text>
    </comment>
    <comment ref="A13" authorId="0" shapeId="0">
      <text>
        <r>
          <rPr>
            <sz val="9"/>
            <color indexed="81"/>
            <rFont val="Tahoma"/>
            <family val="2"/>
          </rPr>
          <t>From Parks and Recreation: "Parks and Flood Control Lands function as Park Area."</t>
        </r>
      </text>
    </comment>
  </commentList>
</comments>
</file>

<file path=xl/comments3.xml><?xml version="1.0" encoding="utf-8"?>
<comments xmlns="http://schemas.openxmlformats.org/spreadsheetml/2006/main">
  <authors>
    <author>wcadmin</author>
  </authors>
  <commentList>
    <comment ref="B5" authorId="0" shapeId="0">
      <text>
        <r>
          <rPr>
            <b/>
            <sz val="9"/>
            <color indexed="81"/>
            <rFont val="Tahoma"/>
            <family val="2"/>
          </rPr>
          <t>Baseline</t>
        </r>
      </text>
    </comment>
    <comment ref="A7" authorId="0" shapeId="0">
      <text>
        <r>
          <rPr>
            <b/>
            <sz val="9"/>
            <color indexed="81"/>
            <rFont val="Tahoma"/>
            <family val="2"/>
          </rPr>
          <t>Children age 24-35 months receiving childhood recommended immunization series</t>
        </r>
      </text>
    </comment>
    <comment ref="C7" authorId="0" shapeId="0">
      <text>
        <r>
          <rPr>
            <b/>
            <sz val="9"/>
            <color rgb="FF000000"/>
            <rFont val="Tahoma"/>
            <family val="2"/>
          </rPr>
          <t>baseline</t>
        </r>
      </text>
    </comment>
  </commentList>
</comments>
</file>

<file path=xl/comments4.xml><?xml version="1.0" encoding="utf-8"?>
<comments xmlns="http://schemas.openxmlformats.org/spreadsheetml/2006/main">
  <authors>
    <author>wcadmin</author>
    <author>Erin Spaeth</author>
  </authors>
  <commentList>
    <comment ref="A4" authorId="0" shapeId="0">
      <text>
        <r>
          <rPr>
            <b/>
            <sz val="9"/>
            <color indexed="81"/>
            <rFont val="Tahoma"/>
            <family val="2"/>
          </rPr>
          <t>Source is now MPCA for this measure. All years reflect MPCA data.</t>
        </r>
      </text>
    </comment>
    <comment ref="A8" authorId="0" shapeId="0">
      <text>
        <r>
          <rPr>
            <b/>
            <sz val="9"/>
            <color indexed="81"/>
            <rFont val="Tahoma"/>
            <family val="2"/>
          </rPr>
          <t>Source is now MPCA for this measure. All years reflect MPCA data.</t>
        </r>
      </text>
    </comment>
    <comment ref="C10" authorId="1" shapeId="0">
      <text>
        <r>
          <rPr>
            <sz val="9"/>
            <color indexed="81"/>
            <rFont val="Tahoma"/>
            <family val="2"/>
          </rPr>
          <t>Cannot quantify at this time. There are 83 programs listed in the data received from Parks and Rec. However, programs are grouped together differently- some representing a large number of classes or groups. For example fall youth baseball, and all outdoor events for the year are two programs. The latter represents all runs, walks, and festivals.</t>
        </r>
      </text>
    </comment>
  </commentList>
</comments>
</file>

<file path=xl/comments5.xml><?xml version="1.0" encoding="utf-8"?>
<comments xmlns="http://schemas.openxmlformats.org/spreadsheetml/2006/main">
  <authors>
    <author>Erin Spaeth</author>
    <author>wcadmin</author>
  </authors>
  <commentList>
    <comment ref="I2" authorId="0" shapeId="0">
      <text>
        <r>
          <rPr>
            <b/>
            <sz val="9"/>
            <color rgb="FF000000"/>
            <rFont val="Tahoma"/>
            <family val="2"/>
          </rPr>
          <t xml:space="preserve">Not directly comparable to previous year, as  run-time reflected 'average' run-time, whereas 2017 point in time reflects total runtime. </t>
        </r>
      </text>
    </comment>
    <comment ref="A5" authorId="1" shapeId="0">
      <text>
        <r>
          <rPr>
            <sz val="9"/>
            <color rgb="FF000000"/>
            <rFont val="Tahoma"/>
            <family val="2"/>
          </rPr>
          <t xml:space="preserve">This was not requested by DMC. I became aware of this data availability and requested it from the transit dept.  I would strongly advise using it, as reliance on paratransit will likely increase due to increase in aging population.. And could likely see a greater increase as medical tourism increases/people move to Rochester for medical purposes. </t>
        </r>
      </text>
    </comment>
    <comment ref="F5" authorId="1" shapeId="0">
      <text>
        <r>
          <rPr>
            <sz val="9"/>
            <color indexed="81"/>
            <rFont val="Tahoma"/>
            <family val="2"/>
          </rPr>
          <t xml:space="preserve">
21% increase in 4 years.</t>
        </r>
      </text>
    </comment>
  </commentList>
</comments>
</file>

<file path=xl/comments6.xml><?xml version="1.0" encoding="utf-8"?>
<comments xmlns="http://schemas.openxmlformats.org/spreadsheetml/2006/main">
  <authors>
    <author>wcadmin</author>
  </authors>
  <commentList>
    <comment ref="A12" authorId="0" shapeId="0">
      <text>
        <r>
          <rPr>
            <sz val="9"/>
            <color rgb="FF000000"/>
            <rFont val="Tahoma"/>
            <family val="2"/>
          </rPr>
          <t>Revised to reflect 2017 USD</t>
        </r>
      </text>
    </comment>
    <comment ref="A22" authorId="0" shapeId="0">
      <text>
        <r>
          <rPr>
            <sz val="9"/>
            <color rgb="FF000000"/>
            <rFont val="Tahoma"/>
            <family val="2"/>
          </rPr>
          <t>Revised to reflect 2017 USD</t>
        </r>
      </text>
    </comment>
    <comment ref="A32" authorId="0" shapeId="0">
      <text>
        <r>
          <rPr>
            <sz val="9"/>
            <color rgb="FF000000"/>
            <rFont val="Tahoma"/>
            <family val="2"/>
          </rPr>
          <t>Revised to reflect 2017 USD</t>
        </r>
      </text>
    </comment>
    <comment ref="A42" authorId="0" shapeId="0">
      <text>
        <r>
          <rPr>
            <sz val="9"/>
            <color indexed="81"/>
            <rFont val="Tahoma"/>
            <family val="2"/>
          </rPr>
          <t xml:space="preserve">
Revised to reflect 2015 USD</t>
        </r>
      </text>
    </comment>
  </commentList>
</comments>
</file>

<file path=xl/sharedStrings.xml><?xml version="1.0" encoding="utf-8"?>
<sst xmlns="http://schemas.openxmlformats.org/spreadsheetml/2006/main" count="2412" uniqueCount="614">
  <si>
    <t>Number of higher education students</t>
  </si>
  <si>
    <t>DMC</t>
  </si>
  <si>
    <t>City of Rochester</t>
  </si>
  <si>
    <t>Olmsted County</t>
  </si>
  <si>
    <t>More people visit Rochester</t>
  </si>
  <si>
    <t xml:space="preserve">Increase recreational and leisure opportunities 
</t>
  </si>
  <si>
    <t xml:space="preserve"> </t>
  </si>
  <si>
    <t>Arts and culture events</t>
  </si>
  <si>
    <t>Outdoor recreation: Number of parks</t>
  </si>
  <si>
    <t>Outdoor recreation:  Park acreage</t>
  </si>
  <si>
    <t>Obesity Rate</t>
  </si>
  <si>
    <t>Diabetes Rate</t>
  </si>
  <si>
    <t>Number of Park &amp; Rec activities (or programs)</t>
  </si>
  <si>
    <t>Number participating in park and rec activities</t>
  </si>
  <si>
    <t>Percentage of days air quality is “good”</t>
  </si>
  <si>
    <t>(placeholder) # of buildings in DMC meeting Architecture 2030 standards or Well-Built standards</t>
  </si>
  <si>
    <t>(placeholder) Energy benchmarking recommended in Energy Report</t>
  </si>
  <si>
    <t>(placeholder) “Sustainability Zone” Heart of the City &amp; Discovery Square</t>
  </si>
  <si>
    <t>Number of residents living within walking distance from transit stop</t>
  </si>
  <si>
    <t>Number of transit stops</t>
  </si>
  <si>
    <t>Housing options are affordable for all ranges of incomes</t>
  </si>
  <si>
    <t>Total population</t>
  </si>
  <si>
    <t>Number of households</t>
  </si>
  <si>
    <t>Age (Children, Workforce age, Older adults)</t>
  </si>
  <si>
    <t>5aiv</t>
  </si>
  <si>
    <t>Race &amp; ethnicity</t>
  </si>
  <si>
    <t>Minnesota</t>
  </si>
  <si>
    <t>Rochester</t>
  </si>
  <si>
    <t>Renters</t>
  </si>
  <si>
    <t>Olmsted</t>
  </si>
  <si>
    <t>Homeowners</t>
  </si>
  <si>
    <t>Margin of error (+/-)</t>
  </si>
  <si>
    <t>All Households</t>
  </si>
  <si>
    <t>Total Households</t>
  </si>
  <si>
    <t>Less than 30 % of household income on mortgage or rent</t>
  </si>
  <si>
    <t>NOT housing cost-burdened</t>
  </si>
  <si>
    <t>Total: Workers 16+ who did not work at home</t>
  </si>
  <si>
    <t>Commute time less than 30 min</t>
  </si>
  <si>
    <t>% with Commute time less than 30 min</t>
  </si>
  <si>
    <t>Margin of Error (+/-)</t>
  </si>
  <si>
    <t>Total Workers age 16+</t>
  </si>
  <si>
    <t>Not commuting to Work Via Car*</t>
  </si>
  <si>
    <t>Not via car (%)</t>
  </si>
  <si>
    <t>Total number of higher education students - 2 year and 4 year institutions</t>
  </si>
  <si>
    <t xml:space="preserve">    Undergraduate</t>
  </si>
  <si>
    <t xml:space="preserve">    Graduate</t>
  </si>
  <si>
    <t>Annual Total of Hotel Stays (Rooms booked)</t>
  </si>
  <si>
    <t>Average Hotel Occupancy (Percent of available rooms booked)</t>
  </si>
  <si>
    <t>Sporting events (organized tournaments; number of events)</t>
  </si>
  <si>
    <t>Sporting events (organized tournaments; attendees)</t>
  </si>
  <si>
    <t>Source: Wilder Research analysis of Rochester MN Convention and Visitor's Bureau data.</t>
  </si>
  <si>
    <t>**</t>
  </si>
  <si>
    <t>Number of convention center events*</t>
  </si>
  <si>
    <t>Number of convention center attendees*</t>
  </si>
  <si>
    <t>* All events- conventions, meetings, sports, entertainment, and social.</t>
  </si>
  <si>
    <t>Range Based on Margin of Error</t>
  </si>
  <si>
    <t>2014
Low end</t>
  </si>
  <si>
    <t>2014
High End</t>
  </si>
  <si>
    <t>http://www.rochestermn.gov/home/showdocument?id=7538</t>
  </si>
  <si>
    <t>Personal Income Tax</t>
  </si>
  <si>
    <t>N/A</t>
  </si>
  <si>
    <t>Hotel Occupancy (Lodging Tax)</t>
  </si>
  <si>
    <t>Corporate Income Tax *</t>
  </si>
  <si>
    <t>** Olmsted County began it's Local Sales and Use Tax in 2014.</t>
  </si>
  <si>
    <t>Local Sales &amp; Use Tax</t>
  </si>
  <si>
    <t>Vaccination Rate (Childhood Vaccination Series)</t>
  </si>
  <si>
    <t>Arts and culture event attendees</t>
  </si>
  <si>
    <t>Hydro: Mega Watt Hours</t>
  </si>
  <si>
    <t>Photovoltaic: Installed Net Metering Capacity (Mega Watt(MW))</t>
  </si>
  <si>
    <t>Photovolatic: Net Metering Customers</t>
  </si>
  <si>
    <t>Wind: Installed Net Metering Capacity (Mega Watt(MW))</t>
  </si>
  <si>
    <t>Wind: Net Metering Customers</t>
  </si>
  <si>
    <t>Other: Installed Net Metering Capacity (Mega Watt(MW))</t>
  </si>
  <si>
    <t>Other: Net Metering Customers</t>
  </si>
  <si>
    <t>Energy from renewable sources (RPU production) *</t>
  </si>
  <si>
    <t>* City of Rochester only owns Hydro Power. The only solar and wind generation in Rochester is customer owned. Can get Solar and Wind MW capacity separated between residential and commercial.</t>
  </si>
  <si>
    <t>Source</t>
  </si>
  <si>
    <t>DMC still deciding on goals</t>
  </si>
  <si>
    <t>590 [estimate]</t>
  </si>
  <si>
    <t>616 [estimate]</t>
  </si>
  <si>
    <t>Transit- Weekday hours of availability</t>
  </si>
  <si>
    <t>6:00AM to 6:30PM</t>
  </si>
  <si>
    <t>Transit- Average Weekday run time</t>
  </si>
  <si>
    <t>12.5 hours</t>
  </si>
  <si>
    <t>Transit- Average Weekend hours of availability</t>
  </si>
  <si>
    <t>8:15AM to 6:30PM</t>
  </si>
  <si>
    <t>Transit- Average Weekend run time</t>
  </si>
  <si>
    <t>10.25 hours</t>
  </si>
  <si>
    <t>0-17</t>
  </si>
  <si>
    <t>18-64</t>
  </si>
  <si>
    <t>65+</t>
  </si>
  <si>
    <t>White (non-hispanic)</t>
  </si>
  <si>
    <t>Asian</t>
  </si>
  <si>
    <t>Black</t>
  </si>
  <si>
    <t>Population for whom poverty status is determined</t>
  </si>
  <si>
    <t>below poverty</t>
  </si>
  <si>
    <t>% below poverty</t>
  </si>
  <si>
    <t>Total Population 25+</t>
  </si>
  <si>
    <t>Less than high school graduate</t>
  </si>
  <si>
    <t>High school graduate (includes equivalency)</t>
  </si>
  <si>
    <t>Some college or associate's degree</t>
  </si>
  <si>
    <t>Bachelor's degree</t>
  </si>
  <si>
    <t>Graduate or professional degree</t>
  </si>
  <si>
    <t>#</t>
  </si>
  <si>
    <t>American Indian</t>
  </si>
  <si>
    <t>Some Other Race</t>
  </si>
  <si>
    <t>Two or More Races</t>
  </si>
  <si>
    <t>Tax Revenue</t>
  </si>
  <si>
    <t>Create a healthier environment for residents, patients, and visitors (part 2)</t>
  </si>
  <si>
    <t>Create a healthier environment for residents, patients, and visitors (part 1)</t>
  </si>
  <si>
    <t>x</t>
  </si>
  <si>
    <t>Improved transportation system (part 1)</t>
  </si>
  <si>
    <t>Improved transportation system (part 3)</t>
  </si>
  <si>
    <t>Population &amp; Demographics (part 2)- by race/ethnicity</t>
  </si>
  <si>
    <t>Population &amp; Demographics (part 1)- total population, and by age</t>
  </si>
  <si>
    <t>Population &amp; Demographics (part 4)- Population in Poverty</t>
  </si>
  <si>
    <t>Population &amp; Demographics (part 5)- Unemployment Rate</t>
  </si>
  <si>
    <t>Population &amp; Demographics (part 6)- Educational Attainment</t>
  </si>
  <si>
    <t>Less than $24,999</t>
  </si>
  <si>
    <t>$25,000 to $49,999</t>
  </si>
  <si>
    <t>$50,000 to $99,999</t>
  </si>
  <si>
    <t>$100,000 or more</t>
  </si>
  <si>
    <t>%</t>
  </si>
  <si>
    <t>Population &amp; Demographics (part 3)- Household Income levels</t>
  </si>
  <si>
    <t>(Income in the past 12-months by household)</t>
  </si>
  <si>
    <t>ACS 1 year estimates, aggregated by Wilder</t>
  </si>
  <si>
    <t>-</t>
  </si>
  <si>
    <t>Civilian labor Force 16+</t>
  </si>
  <si>
    <t>Unemployed</t>
  </si>
  <si>
    <t>Total Population</t>
  </si>
  <si>
    <t>Rochester Convention and Visitor's Bureau</t>
  </si>
  <si>
    <t>Wilder Research analysis of Rochester Parks and Recreation data</t>
  </si>
  <si>
    <t>Unemployment Rate (%)</t>
  </si>
  <si>
    <t>N/A*</t>
  </si>
  <si>
    <t>*A small number of Hispanics may also be represented in the American Indian, Asian, Black or multiracial population counts, which is why the total % of all race/ethnicities groups combined will be more than 100%.</t>
  </si>
  <si>
    <t>Hispanic (of any race)*</t>
  </si>
  <si>
    <t>*Total Population in this chart is for all who have had "poverty status determined." Poverty status was determined for all people except institutionalized people, people in military group quarters, people in college dormitories, and unrelated individuals under 15 years old (including foster children). These groups were excluded from the numerator and denominator when calculating poverty rates.</t>
  </si>
  <si>
    <t>Source: Wilder Research analysis of U.S. Census Bureau, American Community Survey (1-year estimates).</t>
  </si>
  <si>
    <t>ACS 1-year estimates</t>
  </si>
  <si>
    <t>ACS 5-year estimates</t>
  </si>
  <si>
    <t>ACS 1-year estimates (adjusted for inflation)</t>
  </si>
  <si>
    <t>ACS 1-year estimates (nominal dollars)</t>
  </si>
  <si>
    <t>Median Income (nominal dollars)</t>
  </si>
  <si>
    <t>ACS 5-year estimates (nominal dollars)</t>
  </si>
  <si>
    <t>ACS 5-year estimates (adjusted for inflation)</t>
  </si>
  <si>
    <t>Median Income (2015 dollars)</t>
  </si>
  <si>
    <t>Paratransit ridership</t>
  </si>
  <si>
    <t>Transit system ridership (fixed-stop)</t>
  </si>
  <si>
    <t>New Certified Tourism Ambassador numbers</t>
  </si>
  <si>
    <t># Change (2012-2016)</t>
  </si>
  <si>
    <t>% Change (2012-2016)</t>
  </si>
  <si>
    <t>(Upper confidence boundary)</t>
  </si>
  <si>
    <t>(Lower confidence boundary)</t>
  </si>
  <si>
    <t>2015
Low end</t>
  </si>
  <si>
    <t>2015
High End</t>
  </si>
  <si>
    <t>Minnesota Pollution Control Agency, aggregated by Wilder Research</t>
  </si>
  <si>
    <t>Sources: Olmsted Community Health Needs Assessment 2013, Olmsted County Community Health Needs Assessment 2016</t>
  </si>
  <si>
    <t>2005-2008</t>
  </si>
  <si>
    <t># Margin of Error (+/-)</t>
  </si>
  <si>
    <t>* Represents the difference between workers driving or riding in a passenger vehicle and total workers.</t>
  </si>
  <si>
    <t>2015*</t>
  </si>
  <si>
    <t>5:00AM to 10:35PM</t>
  </si>
  <si>
    <t>17.5 hours</t>
  </si>
  <si>
    <t>6:45AM to 7:40PM</t>
  </si>
  <si>
    <t>13 hours</t>
  </si>
  <si>
    <t>8/1/2017 (point in time)</t>
  </si>
  <si>
    <t>6/10/2016 (point in time)</t>
  </si>
  <si>
    <t>Note: Income tax information is from website, but numbers may be adjusted later to limit data to those filing resident tax returns.</t>
  </si>
  <si>
    <t>Additional information provided by Rochester Parks and Forestry Division, Rochester Parks and Recreation</t>
  </si>
  <si>
    <t xml:space="preserve">     Parks - public land area mixed uses (mowed turf, irrigated turf, woods/native areas)</t>
  </si>
  <si>
    <t xml:space="preserve">     Flood Control Lands</t>
  </si>
  <si>
    <t>2012: Wilder Research analysis of Rochester Parks and Recreation data; 2014 and 2015: Parks and Recreation Department Annual Reports;  2017: Rochester Parks and Forestry Division, Rochester Parks and Recreation</t>
  </si>
  <si>
    <t xml:space="preserve">      Property Taxes:  Property Tax Division.  Contact Eric Willette (651 556-6100).</t>
  </si>
  <si>
    <t xml:space="preserve">      Income and Sales Taxes:  http://www.revenue.state.mn.us/research_stats/Pages/Minnesota_Income_Tax_Statistics_by_County.aspx</t>
  </si>
  <si>
    <t xml:space="preserve">   Local Sales and Use Tax: http://www.revenue.state.mn.us/research_stats/Pages/Local-Sales-and-Use-Tax.aspx </t>
  </si>
  <si>
    <t xml:space="preserve">   Lodging Tax: http://www.revenue.state.mn.us/research_stats/Pages/Local-Sales-and-Use-Tax.aspx </t>
  </si>
  <si>
    <t>Sources</t>
  </si>
  <si>
    <t>Minnesota Department of Revenue</t>
  </si>
  <si>
    <t>Minnesota Department of Education Data Center</t>
  </si>
  <si>
    <t xml:space="preserve">  Rochester Public School District Property Taxes: MDE Data Center http://w20.education.state.mn.us/MDEAnalytics/DataTopic.jsp?TOPICID=144</t>
  </si>
  <si>
    <t>Rochester Public School District Property Tax</t>
  </si>
  <si>
    <t xml:space="preserve">Note: As of 10/5/2017, Energy from renewable sources data is currently in "early release" form. Data may be incomplete. </t>
  </si>
  <si>
    <t>Pending response</t>
  </si>
  <si>
    <t>35,723+</t>
  </si>
  <si>
    <t>Number of Park &amp; Rec "connections" (participants and attendees)</t>
  </si>
  <si>
    <t>Payable Year</t>
  </si>
  <si>
    <t>School District NTC Levy</t>
  </si>
  <si>
    <t>School District RMV Levy</t>
  </si>
  <si>
    <t>*Subset of SD NTC levy</t>
  </si>
  <si>
    <t>Source: Minnesota Department of Revenue special request</t>
  </si>
  <si>
    <t xml:space="preserve">   School District NTC Gen Ed Levy*</t>
  </si>
  <si>
    <t>Total (District NTC Levy + District RMV Levy)</t>
  </si>
  <si>
    <t>* Corporate Tax advice from MN Dept. of Revenue staff:  "As I mentioned before, we at DOR are not willing to allocate the corporate tax by county.  We know that the Minnesota House of Representatives does such an allocation, but their allocation (by gross sales) is very crude.  Given the small share of state taxes derived from the corporate tax, it is tough to justify including it anyway."</t>
  </si>
  <si>
    <t>Data from Annual Electric Power Industry Report from US Energy Information Administration</t>
  </si>
  <si>
    <t>Data from Annual Electric Power Industry Report from US Energy Information Administration. Provided by Rochester Public Utilities.</t>
  </si>
  <si>
    <t>NTC= Net Tax Capacity</t>
  </si>
  <si>
    <t>RMV= Referendum Market Value</t>
  </si>
  <si>
    <t>2016
Low end</t>
  </si>
  <si>
    <t>2016
High End</t>
  </si>
  <si>
    <t>Minnesota Department of Employment and Economic Development</t>
  </si>
  <si>
    <t>0-17 (Margin of Error +/-)</t>
  </si>
  <si>
    <t>18-64 (Margin of Error +/-)</t>
  </si>
  <si>
    <t>65+ (Margin of Error +/-)</t>
  </si>
  <si>
    <t>MN DEED estimates are routinely revised by the source. Unemployment data for Minnesota, Olmsted County, and Rochester have been revised with the latest data as of 12/17. Changes are not narrative changing.</t>
  </si>
  <si>
    <t>Note: Total population for Minnesota uses 2017 vintage Population Estimates, whereas all other data using Population Estimates uses 2016 vintage. 2017 vintage Population Estimates for housing, age, race, and sub-state will be available in 2018.</t>
  </si>
  <si>
    <t xml:space="preserve">Items in green were added by DMC staff from County and City contacts. Wilder did not pull these numbers. </t>
  </si>
  <si>
    <t>Construction</t>
  </si>
  <si>
    <t>USE 1-YEAR ESTIMATES</t>
  </si>
  <si>
    <t>Net Migration</t>
  </si>
  <si>
    <t>Net Migration - International Migrants</t>
  </si>
  <si>
    <t>Net Migration - Domestic Migrants</t>
  </si>
  <si>
    <t>Total Population Change</t>
  </si>
  <si>
    <t>NOTE: No PEPTCOMP data available for Rochester City</t>
  </si>
  <si>
    <t>Rochester MSA</t>
  </si>
  <si>
    <t>Total Population Change Source: ACS Table PEPTCOMP</t>
  </si>
  <si>
    <t>Total Population Souce: ACS Table B01003</t>
  </si>
  <si>
    <r>
      <t>**</t>
    </r>
    <r>
      <rPr>
        <b/>
        <sz val="11"/>
        <color rgb="FF000000"/>
        <rFont val="Calibri"/>
        <family val="2"/>
        <scheme val="minor"/>
      </rPr>
      <t>Anomoly in Population #'s:</t>
    </r>
    <r>
      <rPr>
        <sz val="11"/>
        <color rgb="FF000000"/>
        <rFont val="Calibri"/>
        <family val="2"/>
        <scheme val="minor"/>
      </rPr>
      <t xml:space="preserve"> 
OMB Bulletin 13-01 explains that MSA Deliniations were revised in 2010 and implemented by 2013. https://obamawhitehouse.archives.gov/sites/default/files/omb/bulletins/2013/b-13-01.pdf</t>
    </r>
  </si>
  <si>
    <t>NOTE: International migration far outnumbers domestic migration in all three geographies</t>
  </si>
  <si>
    <t>Total Poplation Change includes births, deaths, and net migration</t>
  </si>
  <si>
    <t>Total Workers Living in Rochester</t>
  </si>
  <si>
    <t>Total Workers in Rochester</t>
  </si>
  <si>
    <t xml:space="preserve">Total Rochester Residents Working Outside Rochester </t>
  </si>
  <si>
    <t>Commuter-Adjusted Population</t>
  </si>
  <si>
    <t>Day-toDay Migrants to Rochester</t>
  </si>
  <si>
    <t>Total Workers Living in Rochester MSA</t>
  </si>
  <si>
    <t>Total Workers in Rochester MSA</t>
  </si>
  <si>
    <t xml:space="preserve">Total Rochester MSA Residents Working Outside Rochester MSA </t>
  </si>
  <si>
    <t>Day-toDay Migrants to Rochester MSA</t>
  </si>
  <si>
    <t>Guide: https://www.census.gov/topics/employment/commuting/guidance/calculations.html</t>
  </si>
  <si>
    <r>
      <rPr>
        <b/>
        <sz val="11"/>
        <color rgb="FFFF0000"/>
        <rFont val="Calibri (Body)_x0000_"/>
      </rPr>
      <t>**</t>
    </r>
    <r>
      <rPr>
        <b/>
        <sz val="11"/>
        <color indexed="8"/>
        <rFont val="Calibri"/>
        <family val="2"/>
        <scheme val="minor"/>
      </rPr>
      <t>Anomoly in Population #'s:</t>
    </r>
    <r>
      <rPr>
        <sz val="11"/>
        <color theme="1"/>
        <rFont val="Calibri"/>
        <family val="2"/>
        <scheme val="minor"/>
      </rPr>
      <t xml:space="preserve"> 
OMB Bulletin 13-01 explains that MSA Deliniations were revised in 2010 and implemented by 2013. https://obamawhitehouse.archives.gov/sites/default/files/omb/bulletins/2013/b-13-01.pdf</t>
    </r>
  </si>
  <si>
    <r>
      <rPr>
        <b/>
        <sz val="11"/>
        <color indexed="8"/>
        <rFont val="Calibri"/>
        <family val="2"/>
        <scheme val="minor"/>
      </rPr>
      <t>Total Population</t>
    </r>
    <r>
      <rPr>
        <sz val="11"/>
        <color theme="1"/>
        <rFont val="Calibri"/>
        <family val="2"/>
        <scheme val="minor"/>
      </rPr>
      <t>: ACS Table B01003</t>
    </r>
  </si>
  <si>
    <r>
      <rPr>
        <b/>
        <sz val="11"/>
        <color indexed="8"/>
        <rFont val="Calibri"/>
        <family val="2"/>
        <scheme val="minor"/>
      </rPr>
      <t>Total Workers for Workplace Geography</t>
    </r>
    <r>
      <rPr>
        <sz val="11"/>
        <color theme="1"/>
        <rFont val="Calibri"/>
        <family val="2"/>
        <scheme val="minor"/>
      </rPr>
      <t>: ACS Table B08604</t>
    </r>
  </si>
  <si>
    <r>
      <rPr>
        <b/>
        <sz val="11"/>
        <color indexed="8"/>
        <rFont val="Calibri"/>
        <family val="2"/>
        <scheme val="minor"/>
      </rPr>
      <t>Total Workers Working in Area</t>
    </r>
    <r>
      <rPr>
        <sz val="11"/>
        <color theme="1"/>
        <rFont val="Calibri"/>
        <family val="2"/>
        <scheme val="minor"/>
      </rPr>
      <t>: ACS Table B08008</t>
    </r>
  </si>
  <si>
    <t>Rochester Workers Working outside Rochester</t>
  </si>
  <si>
    <t>AMI %</t>
  </si>
  <si>
    <t>0%-30%</t>
  </si>
  <si>
    <t>30%-35%</t>
  </si>
  <si>
    <t>35%-40%</t>
  </si>
  <si>
    <t>40%-45%</t>
  </si>
  <si>
    <t>45%-50%</t>
  </si>
  <si>
    <t>50%-55%</t>
  </si>
  <si>
    <t>55%-60%</t>
  </si>
  <si>
    <t>60%-65%</t>
  </si>
  <si>
    <t>65%-70%</t>
  </si>
  <si>
    <t>70%-75%</t>
  </si>
  <si>
    <t>75%-80%</t>
  </si>
  <si>
    <t>80%-85%</t>
  </si>
  <si>
    <t>85%-90%</t>
  </si>
  <si>
    <t>90%-95%</t>
  </si>
  <si>
    <t>95%-100%</t>
  </si>
  <si>
    <t>&gt; 100%</t>
  </si>
  <si>
    <t>Annual Income</t>
  </si>
  <si>
    <t># Households</t>
  </si>
  <si>
    <t>% Households</t>
  </si>
  <si>
    <t>AMI%</t>
  </si>
  <si>
    <t>This chart is based on the expectation that Olmsted County will need 4,563 Affordable Units to meet 100% of Affordable Housing needs. 
It has been determined that the 30%-90% AMI range of the population in Rochester qualifies as the Affordable Housing Range. Below 30% AMI represents seniors' housing, etc. Above 100% AMI, affordable housing is not pertinent.
AMI% were used to determine the amount of affordable housing the 30%-90% need in order to meet housing demand.
The 30%-90% range makes up 32.8% of the population in Rochester. Within the 30%-90% range, the percent population in each bracket was calculated. This was  applied to the total 4,563 units needed for this range. The result is a number of units that should be produced to meet the currend demands of housing for those in the "Affordable Housing Range" (30%-90%).</t>
  </si>
  <si>
    <t>REAL WORLD PRODUCTION</t>
  </si>
  <si>
    <t>Population</t>
  </si>
  <si>
    <t># of Households</t>
  </si>
  <si>
    <t>Per Year</t>
  </si>
  <si>
    <t>5 Years</t>
  </si>
  <si>
    <t>Median Household Income</t>
  </si>
  <si>
    <t>Preserved Affordable Units</t>
  </si>
  <si>
    <t>For-Sale Acq/Rehab</t>
  </si>
  <si>
    <t>Owner-Occupied Rehab</t>
  </si>
  <si>
    <t>New Permanent Supportive</t>
  </si>
  <si>
    <t>Median Income (2017 dollars)</t>
  </si>
  <si>
    <t>CSI #'s: https://www.minneapolisfed.org/community/financial-and-economic-education/cpi-calculator-information/consumer-price-index-and-inflation-rates-1913</t>
  </si>
  <si>
    <t>Inflation Calculation: Previous Years $ x (Current CPI/Previous Years CPI)</t>
  </si>
  <si>
    <t>Tax Stream</t>
  </si>
  <si>
    <t>Entity</t>
  </si>
  <si>
    <t>Net Change (2012-2017)</t>
  </si>
  <si>
    <t>% Increase</t>
  </si>
  <si>
    <t>County Property Tax ($205M)</t>
  </si>
  <si>
    <t>County Sales Tax ($13M)</t>
  </si>
  <si>
    <t>Olmsted County ($218M)</t>
  </si>
  <si>
    <t>City of Rochester ($271M)</t>
  </si>
  <si>
    <t>Local Property Tax ($144M)</t>
  </si>
  <si>
    <t>Progress Towards Goal (100%)</t>
  </si>
  <si>
    <t>State Property Tax ($128M)</t>
  </si>
  <si>
    <t>State Sales &amp; Use Tax ($1.9-2.2B)</t>
  </si>
  <si>
    <t>State of Minnesota ($7.5-8B)</t>
  </si>
  <si>
    <t>(RCVB now knows as Experience Rochester)</t>
  </si>
  <si>
    <t>Minnesota Pollution Control Agency: https://www.pca.state.mn.us/air/annual-aqi-summary-reports</t>
  </si>
  <si>
    <t>Source: Wilder Research analysis of U.S. Census Bureau, American Community Survey (1-year data). [TABLE S0801]</t>
  </si>
  <si>
    <t>ACS Table S0802: Total workers 16+</t>
  </si>
  <si>
    <t>ACS Table B08006: Population not commuting to work via car (public transportation + bicycle + walked + taxi cab/motorcycle + worked at home = # not commuting via car)</t>
  </si>
  <si>
    <t>New margin of error calculation = Square root(sum of (MoE^2))</t>
  </si>
  <si>
    <t>Source: ACS Table B25106 - TENURE BY HOUSING COSTS AS A PERCENTAGE OF HOUSEHOLD INCOME IN THE PAST 12 MONTHS</t>
  </si>
  <si>
    <t>Olmsted Income Tax</t>
  </si>
  <si>
    <t>Olmsted Pop Count</t>
  </si>
  <si>
    <t>Rochester Income Tax</t>
  </si>
  <si>
    <t>Rochester Pop Count</t>
  </si>
  <si>
    <t>source: Koch, Rachel (MDOR) &lt;rachel.koch@state.mn.us&gt;</t>
  </si>
  <si>
    <t>ACS 1-Year Estimates: Table S0101</t>
  </si>
  <si>
    <t>ACS 1-Year Estimates: Table S1101</t>
  </si>
  <si>
    <t>*****</t>
  </si>
  <si>
    <t>******</t>
  </si>
  <si>
    <t>ACS 1-Year Estimates: Table C03002</t>
  </si>
  <si>
    <t>ACS 1 year estimates: Table S1701</t>
  </si>
  <si>
    <t>https://mn.gov/deed/data/data-tools/laus/</t>
  </si>
  <si>
    <t>ROCHESTER MN</t>
  </si>
  <si>
    <t>Annual # of Jobs</t>
  </si>
  <si>
    <t>Average Weekly Wages</t>
  </si>
  <si>
    <t>Annual Wages</t>
  </si>
  <si>
    <t>Weeks in a year = 52.143</t>
  </si>
  <si>
    <t>OLMSTED COUNTY</t>
  </si>
  <si>
    <t>MINNESOTA</t>
  </si>
  <si>
    <t>Total, All Industries (000000)</t>
  </si>
  <si>
    <t>Natural Resources and Mining (1011)</t>
  </si>
  <si>
    <t>Construction (1012)</t>
  </si>
  <si>
    <t>Manufacturing (1013)</t>
  </si>
  <si>
    <t>Trade, Transportation and Utilities (1021)</t>
  </si>
  <si>
    <t>Information (1022)</t>
  </si>
  <si>
    <t>Financial Activites (1023)</t>
  </si>
  <si>
    <t>Professional and Business Services (1024)</t>
  </si>
  <si>
    <t>Education and Health Services (1025)</t>
  </si>
  <si>
    <t>Leisure and Hospitality (1026)</t>
  </si>
  <si>
    <t>Other Services (1027)</t>
  </si>
  <si>
    <t>Public Administration (1028)</t>
  </si>
  <si>
    <t>Quarterly Census of Employment and Wages (QWEC) Annual Data Compilation</t>
  </si>
  <si>
    <t>https://mn.gov/deed/data/data-tools/qcew/</t>
  </si>
  <si>
    <t># Change 
(2012-2017)</t>
  </si>
  <si>
    <t>% Change 
(2012-2017)</t>
  </si>
  <si>
    <t>Minnesota Jobs</t>
  </si>
  <si>
    <t>Rochester Jobs</t>
  </si>
  <si>
    <t>Minnesota Wages</t>
  </si>
  <si>
    <t>Rochester Wages</t>
  </si>
  <si>
    <t>Olmsted Jobs</t>
  </si>
  <si>
    <t>Olmsted Wages</t>
  </si>
  <si>
    <t>12-Month Enrollment Sums: Undergraduate and Graduate: Minimum 2-year Instituntions</t>
  </si>
  <si>
    <t>Mayo Clinic Graduate School of Biomedical Sciences</t>
  </si>
  <si>
    <t>Mayo Clinic School of Health Sciences</t>
  </si>
  <si>
    <t xml:space="preserve">Mayo Clinic School of Medicine </t>
  </si>
  <si>
    <t>National American University - Rochester</t>
  </si>
  <si>
    <t>Rochester Community and Technical College</t>
  </si>
  <si>
    <t>University of Minnesota - Rochester</t>
  </si>
  <si>
    <t>IPEDS #:</t>
  </si>
  <si>
    <t>INSTITUTIONS (Offering Minimum 2 Year Degree):</t>
  </si>
  <si>
    <t>https://nces.ed.gov/ipeds/use-the-data</t>
  </si>
  <si>
    <t>&gt;statistical tables &gt;enter institution #'s &gt;12-month enrollment &gt;Undergraduate &amp; Graduate</t>
  </si>
  <si>
    <t>NEW TABLE:</t>
  </si>
  <si>
    <t>Total</t>
  </si>
  <si>
    <t>Margin of Error</t>
  </si>
  <si>
    <t>5:30AM-10:30PM</t>
  </si>
  <si>
    <t>6:30AM-8:00PM</t>
  </si>
  <si>
    <t>13.5 Hours</t>
  </si>
  <si>
    <t>17 Hours</t>
  </si>
  <si>
    <t>Rounded Annual Income</t>
  </si>
  <si>
    <t xml:space="preserve">  Less than $10,000</t>
  </si>
  <si>
    <t xml:space="preserve">  $10,000 to $14,999</t>
  </si>
  <si>
    <t xml:space="preserve">  $15,000 to $19,999</t>
  </si>
  <si>
    <t xml:space="preserve">  $20,000 to $24,999</t>
  </si>
  <si>
    <t xml:space="preserve">  $25,000 to $29,999</t>
  </si>
  <si>
    <t xml:space="preserve">  $30,000 to $34,999</t>
  </si>
  <si>
    <t xml:space="preserve">  $35,000 to $39,999</t>
  </si>
  <si>
    <t xml:space="preserve">  $40,000 to $44,999</t>
  </si>
  <si>
    <t xml:space="preserve">  $45,000 to $49,999</t>
  </si>
  <si>
    <t xml:space="preserve">  $50,000 to $59,999</t>
  </si>
  <si>
    <t xml:space="preserve">  $60,000 to $74,999</t>
  </si>
  <si>
    <t xml:space="preserve">  $75,000 to $99,999</t>
  </si>
  <si>
    <t xml:space="preserve">  $100,000 to $124,999</t>
  </si>
  <si>
    <t xml:space="preserve">  $125,000 to $149,999</t>
  </si>
  <si>
    <t xml:space="preserve">  $150,000 to $199,999</t>
  </si>
  <si>
    <t xml:space="preserve">  $200,000 or more</t>
  </si>
  <si>
    <t>0-30%</t>
  </si>
  <si>
    <t>30-40%</t>
  </si>
  <si>
    <t>40-45%</t>
  </si>
  <si>
    <t>40-50%</t>
  </si>
  <si>
    <t>50-55%</t>
  </si>
  <si>
    <t>55-65%</t>
  </si>
  <si>
    <t>65-70%</t>
  </si>
  <si>
    <t>70-80%</t>
  </si>
  <si>
    <t>80-95%</t>
  </si>
  <si>
    <t>&gt;95%</t>
  </si>
  <si>
    <t>45-55%</t>
  </si>
  <si>
    <t>55-60%</t>
  </si>
  <si>
    <t>60-70%</t>
  </si>
  <si>
    <t>70-75%</t>
  </si>
  <si>
    <t>75-90%</t>
  </si>
  <si>
    <t>&gt;90%</t>
  </si>
  <si>
    <t>ROCHESTER CITY, MN - HOUSEHOLD AREA MEDIAN IMCOME PERCENTAGES (AMI%)</t>
  </si>
  <si>
    <t>Pie Chart Values</t>
  </si>
  <si>
    <t>0-35%</t>
  </si>
  <si>
    <t>35-40%</t>
  </si>
  <si>
    <t>60-65%</t>
  </si>
  <si>
    <t>65-80%</t>
  </si>
  <si>
    <t>80-100%</t>
  </si>
  <si>
    <t>&gt;100%</t>
  </si>
  <si>
    <t>Source: ACS 1-Year Estimates: Tables; B19001, B19013</t>
  </si>
  <si>
    <t>New Housing Need</t>
  </si>
  <si>
    <t>New Housing Need:</t>
  </si>
  <si>
    <t>HH %</t>
  </si>
  <si>
    <t>35-45%</t>
  </si>
  <si>
    <t>40-60%</t>
  </si>
  <si>
    <t>70-90%</t>
  </si>
  <si>
    <t>2014-2017 Average</t>
  </si>
  <si>
    <t>HH Average</t>
  </si>
  <si>
    <t>Margin of Er.</t>
  </si>
  <si>
    <t>2014 ACS B19001</t>
  </si>
  <si>
    <t>TOTAL:</t>
  </si>
  <si>
    <t>Estimate</t>
  </si>
  <si>
    <t>+/-</t>
  </si>
  <si>
    <t>2018 ACS B19001</t>
  </si>
  <si>
    <t>2017 ACS B19001</t>
  </si>
  <si>
    <t>2016 ACS B19001</t>
  </si>
  <si>
    <t>2015 ACS B19001</t>
  </si>
  <si>
    <t>50-60%</t>
  </si>
  <si>
    <t>65-75%</t>
  </si>
  <si>
    <t>45-50%</t>
  </si>
  <si>
    <t>2014-2017 AVERAGE</t>
  </si>
  <si>
    <t>Household AMI% (2014-2017 Average)</t>
  </si>
  <si>
    <t>Projected Units Needed</t>
  </si>
  <si>
    <t>Number of rooms available to rent**</t>
  </si>
  <si>
    <t>**Excluding Broadway Plaza</t>
  </si>
  <si>
    <t xml:space="preserve">Rochester </t>
  </si>
  <si>
    <t>ANNUAL JOBS</t>
  </si>
  <si>
    <t>ANNUAL WAGES</t>
  </si>
  <si>
    <t>2017 Jobs</t>
  </si>
  <si>
    <t># Increase</t>
  </si>
  <si>
    <t>2017 Wages</t>
  </si>
  <si>
    <t>Column1</t>
  </si>
  <si>
    <t>Increase from 2014</t>
  </si>
  <si>
    <t>Increase from 20142</t>
  </si>
  <si>
    <t>Year</t>
  </si>
  <si>
    <t>Jobs</t>
  </si>
  <si>
    <t>Wages</t>
  </si>
  <si>
    <t>Arts Center</t>
  </si>
  <si>
    <t>Civic Theatre</t>
  </si>
  <si>
    <t>*2017 Data Collection is coming in from a variety of sources, so far we have civic center &amp; arts center #s (11.19.2018) (NO)</t>
  </si>
  <si>
    <t>Targeted Business Contract Goal</t>
  </si>
  <si>
    <t>Women in Construction</t>
  </si>
  <si>
    <t>Minorities in Construction</t>
  </si>
  <si>
    <t>Construction Administration</t>
  </si>
  <si>
    <t>GOAL</t>
  </si>
  <si>
    <t>Targeted Business</t>
  </si>
  <si>
    <t>Women in Administration</t>
  </si>
  <si>
    <t>Minorities in Administration</t>
  </si>
  <si>
    <t>TOTAL</t>
  </si>
  <si>
    <t>The city's goals are outlined below:</t>
  </si>
  <si>
    <t>Average Household Size</t>
  </si>
  <si>
    <t>(Margin of Error +/-)</t>
  </si>
  <si>
    <t>Cost of Living</t>
  </si>
  <si>
    <t>MnDEED Standard Household Size: 3 (1 full-time partner, 1 part-time partner, 1 child)</t>
  </si>
  <si>
    <t>Area</t>
  </si>
  <si>
    <t>Family Size</t>
  </si>
  <si>
    <t>Number of Adults</t>
  </si>
  <si>
    <t>Number of Workers</t>
  </si>
  <si>
    <t>Number of Children</t>
  </si>
  <si>
    <t>Age of Adults</t>
  </si>
  <si>
    <t>Yearly Cost</t>
  </si>
  <si>
    <t>Hourly Wage</t>
  </si>
  <si>
    <t>Child Care</t>
  </si>
  <si>
    <t>Food</t>
  </si>
  <si>
    <t>Health Care</t>
  </si>
  <si>
    <t>Housing</t>
  </si>
  <si>
    <t>Transport</t>
  </si>
  <si>
    <t>Other</t>
  </si>
  <si>
    <t>Taxes</t>
  </si>
  <si>
    <t>MnDEED:</t>
  </si>
  <si>
    <t>19-50</t>
  </si>
  <si>
    <t>51+</t>
  </si>
  <si>
    <t>STANDARD --&gt;</t>
  </si>
  <si>
    <t xml:space="preserve">Minnesota                       </t>
  </si>
  <si>
    <t>Monthy</t>
  </si>
  <si>
    <t>HOUSING COSTS AS A % OF HOUSEHOLD INCOME</t>
  </si>
  <si>
    <t>SOURCE: ACS 1-Year Estimates, Table B25106</t>
  </si>
  <si>
    <t>HH Income</t>
  </si>
  <si>
    <t># HH</t>
  </si>
  <si>
    <t>&lt; 20% income spent on housing</t>
  </si>
  <si>
    <t>20-29% income spent on housing</t>
  </si>
  <si>
    <t>&gt; 30% income spent on housing</t>
  </si>
  <si>
    <t>Owner-occupied</t>
  </si>
  <si>
    <t>&lt; $20,000</t>
  </si>
  <si>
    <t>$20,000 - $34,999</t>
  </si>
  <si>
    <t>$35,000 - $49,999</t>
  </si>
  <si>
    <t>$50,000 - $74,999</t>
  </si>
  <si>
    <t>&gt; $75,000</t>
  </si>
  <si>
    <t>Zero or negative income</t>
  </si>
  <si>
    <t>Renter-occupied</t>
  </si>
  <si>
    <t>No cash rent</t>
  </si>
  <si>
    <t>Income spent on housing</t>
  </si>
  <si>
    <t>% HH paying a % of income on housing</t>
  </si>
  <si>
    <t>ALL</t>
  </si>
  <si>
    <t>HH &lt;20%</t>
  </si>
  <si>
    <t>HH 20-29%</t>
  </si>
  <si>
    <t>HH &gt; 30%</t>
  </si>
  <si>
    <t>%HH @ &lt;20%</t>
  </si>
  <si>
    <t>%HH @ 20-29%</t>
  </si>
  <si>
    <t>%HH @ &gt; 30%</t>
  </si>
  <si>
    <t>OWNER</t>
  </si>
  <si>
    <t>% HH paying a % of income on rent</t>
  </si>
  <si>
    <t>RENTER</t>
  </si>
  <si>
    <t>`</t>
  </si>
  <si>
    <t>Setting a Housing Production Goal Given Constrained Rsources</t>
  </si>
  <si>
    <t>IDEAL WORLD: 
Meet 100% of Housing Need</t>
  </si>
  <si>
    <t>2016 - 2020</t>
  </si>
  <si>
    <t xml:space="preserve">Total Affordable Units Procured </t>
  </si>
  <si>
    <t>New Affordable Units Produced</t>
  </si>
  <si>
    <t>Total Affordable Rentals</t>
  </si>
  <si>
    <t>New Workforce Housing</t>
  </si>
  <si>
    <t>New Senior Housing</t>
  </si>
  <si>
    <t>Total Affordable Ownership</t>
  </si>
  <si>
    <t>New For-Sale (Condo/Townhome)</t>
  </si>
  <si>
    <t>CLT/Habitat For-Sale (Condo/Townhome)</t>
  </si>
  <si>
    <t>Total Preserved Affordable Housing</t>
  </si>
  <si>
    <t>Preserved Workforce Housing</t>
  </si>
  <si>
    <t xml:space="preserve">Preserved Senior Housing </t>
  </si>
  <si>
    <t>Preserved Affordable Housing</t>
  </si>
  <si>
    <t>ROCHESTER AFFORDABLE HOUSING PLANNED, APPROVED, UNDER COSNTRUCTION, OR NOW LEASING</t>
  </si>
  <si>
    <t>UNIT COST ($)</t>
  </si>
  <si>
    <t>AVAILABLE UNITS</t>
  </si>
  <si>
    <t>INCOME RESTRICTIONS (# OF PERSONS)</t>
  </si>
  <si>
    <t>LOCATION</t>
  </si>
  <si>
    <t>DEVELOPMENT</t>
  </si>
  <si>
    <t>STATUS</t>
  </si>
  <si>
    <t>UNITS</t>
  </si>
  <si>
    <t>% AFF. UNITS</t>
  </si>
  <si>
    <t># AFF. UNITS</t>
  </si>
  <si>
    <t>%AMI</t>
  </si>
  <si>
    <t>STU.</t>
  </si>
  <si>
    <t>1BD</t>
  </si>
  <si>
    <t>2BD</t>
  </si>
  <si>
    <t>3BD</t>
  </si>
  <si>
    <t>0-30</t>
  </si>
  <si>
    <t>30-40</t>
  </si>
  <si>
    <t>40-50</t>
  </si>
  <si>
    <t>50-60</t>
  </si>
  <si>
    <t>NORTHWEST QUADRANT</t>
  </si>
  <si>
    <t>400 1ST AVE NW</t>
  </si>
  <si>
    <t>FIRST AVE FLATS</t>
  </si>
  <si>
    <t>SUBSIDIZED</t>
  </si>
  <si>
    <t>860 - 1035</t>
  </si>
  <si>
    <t>408 8 1/2 AVE NW</t>
  </si>
  <si>
    <t>THE PARK AT KUTZKY</t>
  </si>
  <si>
    <t>NOW LEASING</t>
  </si>
  <si>
    <t>AVAILABLE</t>
  </si>
  <si>
    <t>AVAILABLE SOON</t>
  </si>
  <si>
    <t>1990 ASHLAND DR NW</t>
  </si>
  <si>
    <t>ASHLAND PLACE</t>
  </si>
  <si>
    <t>920 40TH ST NW</t>
  </si>
  <si>
    <t>GAGE EAST (HOMELESS YOUTH)</t>
  </si>
  <si>
    <t>&lt; 30%</t>
  </si>
  <si>
    <t>NOT APPLICABLE</t>
  </si>
  <si>
    <t>3433 KENOSHA DR NW</t>
  </si>
  <si>
    <t>THE VILLAS AT VALLEYHIGH</t>
  </si>
  <si>
    <t>PLANNED &amp; APPROVED</t>
  </si>
  <si>
    <t>ALPHA PARKWAY NW (BEHIND HY-VEE)</t>
  </si>
  <si>
    <t>VILLAGE AT ALPHA PARKWAY</t>
  </si>
  <si>
    <t>PLANNED/PIPELINE</t>
  </si>
  <si>
    <t>UPDATED AUGUST 14, 2018</t>
  </si>
  <si>
    <t>2350 VALLEYHIGH DR NW</t>
  </si>
  <si>
    <t>VALLEY HIGH FLATS</t>
  </si>
  <si>
    <t>735 - 765</t>
  </si>
  <si>
    <t>TECHNOLOGY DR NW</t>
  </si>
  <si>
    <t>TECHNOLOGY PARK APARTMENTS</t>
  </si>
  <si>
    <t>UNDER CONSTRUCTION</t>
  </si>
  <si>
    <t>CHANGED 9/25/2018</t>
  </si>
  <si>
    <t>JEREMIAH PROJECT</t>
  </si>
  <si>
    <t>5340 56TH ST NW</t>
  </si>
  <si>
    <t>HARVEST VIEW II (JOSEPH DEVELOPMENT)</t>
  </si>
  <si>
    <t>CHANGED 5/25/2018</t>
  </si>
  <si>
    <t>NORTHEAST QUADRANT</t>
  </si>
  <si>
    <t>101 E CENTER ST</t>
  </si>
  <si>
    <t>THE PARKER</t>
  </si>
  <si>
    <t>MICRO UNITS</t>
  </si>
  <si>
    <t>191 SANDBAR CT NE</t>
  </si>
  <si>
    <t>RIVER GLEN</t>
  </si>
  <si>
    <t>SOUTHEAST QUADRANT</t>
  </si>
  <si>
    <t>1225 20TH ST SE</t>
  </si>
  <si>
    <t>THE MEADOWS</t>
  </si>
  <si>
    <t>412 3RD AVE SE</t>
  </si>
  <si>
    <t>FLATS ON FOURTH</t>
  </si>
  <si>
    <t>1070 - 1300</t>
  </si>
  <si>
    <t>1250 - 1350</t>
  </si>
  <si>
    <t>1975 - 2025</t>
  </si>
  <si>
    <t>1217 EASTGATE DR SE</t>
  </si>
  <si>
    <t>EASTGATE APARTMENTS</t>
  </si>
  <si>
    <t>SOUTHWEST QUADRANT</t>
  </si>
  <si>
    <t>324 1ST AVE SW</t>
  </si>
  <si>
    <t>NORTH ROCK DEVELOPMENT (DEV.)</t>
  </si>
  <si>
    <t>PLANNED</t>
  </si>
  <si>
    <t>511 3 AVE SW</t>
  </si>
  <si>
    <t>RESIDENCE AT DISCOVERY SQUARE</t>
  </si>
  <si>
    <t>1620 CENTER ST W</t>
  </si>
  <si>
    <t>AVANI LIVING</t>
  </si>
  <si>
    <t>1385 - 1410</t>
  </si>
  <si>
    <t>1890 - 1975</t>
  </si>
  <si>
    <t>GRAND TOTAL (60%) AMI OR LESS)</t>
  </si>
  <si>
    <t>40-44%</t>
  </si>
  <si>
    <t>45-49%</t>
  </si>
  <si>
    <t>50-59%</t>
  </si>
  <si>
    <t>60-64%</t>
  </si>
  <si>
    <t>65-74%</t>
  </si>
  <si>
    <t>75-89%</t>
  </si>
  <si>
    <t>Built Units</t>
  </si>
  <si>
    <t>New Ownership Need</t>
  </si>
  <si>
    <t>New Rental Need</t>
  </si>
  <si>
    <t>New Rental</t>
  </si>
  <si>
    <t>New Total Housing Need</t>
  </si>
  <si>
    <t>Look over here ------&gt;</t>
  </si>
  <si>
    <t>New Ownership</t>
  </si>
  <si>
    <t>Rental Built</t>
  </si>
  <si>
    <t>Ownership Built</t>
  </si>
  <si>
    <t>Construction WMBE Goals</t>
  </si>
  <si>
    <t>Total:</t>
  </si>
  <si>
    <t>+/-6,925</t>
  </si>
  <si>
    <t>+/-947</t>
  </si>
  <si>
    <t>+/-1,096</t>
  </si>
  <si>
    <t>4,455,388</t>
  </si>
  <si>
    <t>87,364</t>
  </si>
  <si>
    <t>124,386</t>
  </si>
  <si>
    <t># Change (2012-2018)</t>
  </si>
  <si>
    <t>% Change (2012-2018)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</si>
</sst>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0%"/>
    <numFmt numFmtId="168" formatCode="_(* #,##0.0_);_(* \(#,##0.0\);_(* &quot;-&quot;??_);_(@_)"/>
    <numFmt numFmtId="169" formatCode="0.0"/>
  </numFmts>
  <fonts count="53">
    <font>
      <sz val="11"/>
      <color theme="1"/>
      <name val="Calibri"/>
      <family val="2"/>
      <scheme val="minor"/>
    </font>
    <font>
      <b/>
      <sz val="11"/>
      <color theme="1"/>
      <name val="Calibri"/>
      <family val="2"/>
      <scheme val="minor"/>
    </font>
    <font>
      <b/>
      <u/>
      <sz val="11"/>
      <color theme="1"/>
      <name val="Calibri"/>
      <family val="2"/>
      <scheme val="minor"/>
    </font>
    <font>
      <sz val="11"/>
      <color indexed="8"/>
      <name val="Calibri"/>
      <family val="2"/>
      <scheme val="minor"/>
    </font>
    <font>
      <i/>
      <sz val="11"/>
      <color theme="1"/>
      <name val="Calibri"/>
      <family val="2"/>
      <scheme val="minor"/>
    </font>
    <font>
      <sz val="10"/>
      <name val="Arial"/>
      <family val="2"/>
    </font>
    <font>
      <b/>
      <sz val="9"/>
      <color indexed="81"/>
      <name val="Tahoma"/>
      <family val="2"/>
    </font>
    <font>
      <sz val="9"/>
      <color indexed="81"/>
      <name val="Tahoma"/>
      <family val="2"/>
    </font>
    <font>
      <sz val="11"/>
      <color theme="1"/>
      <name val="Calibri"/>
      <family val="2"/>
      <scheme val="minor"/>
    </font>
    <font>
      <sz val="11"/>
      <color theme="1"/>
      <name val="Arial"/>
      <family val="2"/>
    </font>
    <font>
      <sz val="12"/>
      <name val="Times New Roman"/>
      <family val="1"/>
    </font>
    <font>
      <sz val="12"/>
      <color theme="1"/>
      <name val="Times New Roman"/>
      <family val="2"/>
    </font>
    <font>
      <b/>
      <i/>
      <sz val="11"/>
      <color theme="1"/>
      <name val="Calibri"/>
      <family val="2"/>
      <scheme val="minor"/>
    </font>
    <font>
      <u/>
      <sz val="11"/>
      <color theme="1"/>
      <name val="Calibri"/>
      <family val="2"/>
      <scheme val="minor"/>
    </font>
    <font>
      <b/>
      <sz val="14"/>
      <color theme="1"/>
      <name val="Calibri"/>
      <family val="2"/>
      <scheme val="minor"/>
    </font>
    <font>
      <sz val="10"/>
      <name val="MS Sans Serif"/>
      <family val="2"/>
    </font>
    <font>
      <b/>
      <sz val="12"/>
      <color theme="1"/>
      <name val="Calibri"/>
      <family val="2"/>
      <scheme val="minor"/>
    </font>
    <font>
      <i/>
      <sz val="11"/>
      <color theme="1" tint="0.34998626667073579"/>
      <name val="Calibri"/>
      <family val="2"/>
      <scheme val="minor"/>
    </font>
    <font>
      <sz val="11"/>
      <color rgb="FFFF0000"/>
      <name val="Calibri"/>
      <family val="2"/>
      <scheme val="minor"/>
    </font>
    <font>
      <u/>
      <sz val="11"/>
      <color theme="10"/>
      <name val="Calibri"/>
      <family val="2"/>
      <scheme val="minor"/>
    </font>
    <font>
      <b/>
      <sz val="16"/>
      <color theme="1"/>
      <name val="Calibri"/>
      <family val="2"/>
      <scheme val="minor"/>
    </font>
    <font>
      <sz val="11"/>
      <name val="Calibri"/>
      <family val="2"/>
      <scheme val="minor"/>
    </font>
    <font>
      <sz val="11"/>
      <color rgb="FF1F497D"/>
      <name val="Calibri"/>
      <family val="2"/>
      <scheme val="minor"/>
    </font>
    <font>
      <b/>
      <i/>
      <sz val="12"/>
      <color theme="1"/>
      <name val="Calibri"/>
      <family val="2"/>
      <scheme val="minor"/>
    </font>
    <font>
      <sz val="9.5"/>
      <color rgb="FF000000"/>
      <name val="Arial"/>
      <family val="2"/>
    </font>
    <font>
      <b/>
      <sz val="11"/>
      <name val="Calibri"/>
      <family val="2"/>
    </font>
    <font>
      <sz val="11"/>
      <name val="Calibri"/>
      <family val="2"/>
    </font>
    <font>
      <b/>
      <sz val="11"/>
      <color indexed="8"/>
      <name val="Calibri"/>
      <family val="2"/>
      <scheme val="minor"/>
    </font>
    <font>
      <b/>
      <sz val="16"/>
      <color rgb="FFFF0000"/>
      <name val="Calibri"/>
      <family val="2"/>
      <scheme val="minor"/>
    </font>
    <font>
      <sz val="11"/>
      <color rgb="FFFF0000"/>
      <name val="Calibri (Body)_x0000_"/>
    </font>
    <font>
      <b/>
      <sz val="11"/>
      <color rgb="FFFF0000"/>
      <name val="Calibri (Body)"/>
    </font>
    <font>
      <b/>
      <sz val="11"/>
      <color rgb="FF000000"/>
      <name val="Calibri"/>
      <family val="2"/>
      <scheme val="minor"/>
    </font>
    <font>
      <sz val="11"/>
      <color rgb="FF000000"/>
      <name val="Calibri"/>
      <family val="2"/>
      <scheme val="minor"/>
    </font>
    <font>
      <b/>
      <sz val="11"/>
      <name val="Calibri"/>
      <family val="2"/>
      <scheme val="minor"/>
    </font>
    <font>
      <b/>
      <sz val="11"/>
      <color rgb="FFFF0000"/>
      <name val="Calibri (Body)_x0000_"/>
    </font>
    <font>
      <sz val="9"/>
      <color rgb="FF000000"/>
      <name val="Tahoma"/>
      <family val="2"/>
    </font>
    <font>
      <b/>
      <sz val="14"/>
      <color rgb="FF000000"/>
      <name val="Calibri"/>
      <family val="2"/>
      <scheme val="minor"/>
    </font>
    <font>
      <b/>
      <sz val="12"/>
      <color rgb="FF000000"/>
      <name val="Calibri"/>
      <family val="2"/>
      <scheme val="minor"/>
    </font>
    <font>
      <i/>
      <sz val="11"/>
      <color rgb="FF000000"/>
      <name val="Calibri"/>
      <family val="2"/>
      <scheme val="minor"/>
    </font>
    <font>
      <b/>
      <i/>
      <sz val="11"/>
      <color rgb="FF000000"/>
      <name val="Calibri"/>
      <family val="2"/>
      <scheme val="minor"/>
    </font>
    <font>
      <b/>
      <i/>
      <sz val="11"/>
      <color rgb="FF808080"/>
      <name val="Calibri"/>
      <family val="2"/>
      <scheme val="minor"/>
    </font>
    <font>
      <b/>
      <u/>
      <sz val="11"/>
      <color rgb="FF000000"/>
      <name val="Calibri"/>
      <family val="2"/>
      <scheme val="minor"/>
    </font>
    <font>
      <sz val="9"/>
      <color theme="1"/>
      <name val="Calibri"/>
      <family val="2"/>
      <scheme val="minor"/>
    </font>
    <font>
      <b/>
      <sz val="9"/>
      <color rgb="FF000000"/>
      <name val="Tahoma"/>
      <family val="2"/>
    </font>
    <font>
      <sz val="11"/>
      <color theme="1" tint="0.499984740745262"/>
      <name val="Calibri"/>
      <family val="2"/>
      <scheme val="minor"/>
    </font>
    <font>
      <b/>
      <sz val="11"/>
      <color rgb="FFFF0000"/>
      <name val="Calibri"/>
      <family val="2"/>
      <scheme val="minor"/>
    </font>
    <font>
      <sz val="10"/>
      <color indexed="8"/>
      <name val="Calibri"/>
      <family val="2"/>
      <scheme val="minor"/>
    </font>
    <font>
      <b/>
      <sz val="10"/>
      <color indexed="8"/>
      <name val="Calibri"/>
      <family val="2"/>
      <scheme val="minor"/>
    </font>
    <font>
      <b/>
      <sz val="12"/>
      <color theme="1"/>
      <name val="Calibri (Body)_x0000_"/>
    </font>
    <font>
      <sz val="12"/>
      <color rgb="FF000000"/>
      <name val="Calibri"/>
      <family val="2"/>
      <scheme val="minor"/>
    </font>
    <font>
      <b/>
      <sz val="12"/>
      <color rgb="FFFF0000"/>
      <name val="Calibri"/>
      <family val="2"/>
      <scheme val="minor"/>
    </font>
    <font>
      <b/>
      <i/>
      <sz val="11"/>
      <color rgb="FFFF0000"/>
      <name val="Calibri"/>
      <family val="2"/>
      <scheme val="minor"/>
    </font>
    <font>
      <sz val="11"/>
      <color rgb="FF00B050"/>
      <name val="Calibri"/>
      <family val="2"/>
      <scheme val="minor"/>
    </font>
  </fonts>
  <fills count="3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DBBBB"/>
        <bgColor indexed="64"/>
      </patternFill>
    </fill>
    <fill>
      <patternFill patternType="solid">
        <fgColor rgb="FF00B05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92D05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D9D9D9"/>
        <bgColor rgb="FF000000"/>
      </patternFill>
    </fill>
    <fill>
      <patternFill patternType="solid">
        <fgColor rgb="FFFFF2CC"/>
        <bgColor rgb="FF000000"/>
      </patternFill>
    </fill>
    <fill>
      <patternFill patternType="solid">
        <fgColor rgb="FFDDEBF7"/>
        <bgColor rgb="FF000000"/>
      </patternFill>
    </fill>
    <fill>
      <patternFill patternType="solid">
        <fgColor theme="8" tint="0.399975585192419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rgb="FF92D050"/>
        <bgColor rgb="FF000000"/>
      </patternFill>
    </fill>
    <fill>
      <patternFill patternType="solid">
        <fgColor theme="2"/>
        <bgColor indexed="64"/>
      </patternFill>
    </fill>
    <fill>
      <patternFill patternType="solid">
        <fgColor theme="9" tint="0.59999389629810485"/>
        <bgColor indexed="64"/>
      </patternFill>
    </fill>
    <fill>
      <patternFill patternType="solid">
        <fgColor theme="1"/>
        <bgColor indexed="64"/>
      </patternFill>
    </fill>
    <fill>
      <patternFill patternType="solid">
        <fgColor theme="1" tint="0.34998626667073579"/>
        <bgColor indexed="64"/>
      </patternFill>
    </fill>
    <fill>
      <patternFill patternType="solid">
        <fgColor indexed="9"/>
        <bgColor indexed="64"/>
      </patternFill>
    </fill>
    <fill>
      <patternFill patternType="solid">
        <fgColor theme="7" tint="0.39997558519241921"/>
        <bgColor indexed="64"/>
      </patternFill>
    </fill>
    <fill>
      <patternFill patternType="solid">
        <fgColor rgb="FFD9E1F2"/>
        <bgColor rgb="FF000000"/>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0" tint="-4.9989318521683403E-2"/>
        <bgColor rgb="FF000000"/>
      </patternFill>
    </fill>
  </fills>
  <borders count="86">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Dashed">
        <color indexed="64"/>
      </bottom>
      <diagonal/>
    </border>
    <border>
      <left style="thin">
        <color indexed="64"/>
      </left>
      <right style="thin">
        <color indexed="64"/>
      </right>
      <top style="mediumDashed">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mediumDashed">
        <color indexed="64"/>
      </bottom>
      <diagonal/>
    </border>
    <border>
      <left style="medium">
        <color indexed="64"/>
      </left>
      <right style="thin">
        <color indexed="64"/>
      </right>
      <top style="mediumDashed">
        <color indexed="64"/>
      </top>
      <bottom style="thin">
        <color indexed="64"/>
      </bottom>
      <diagonal/>
    </border>
    <border>
      <left style="medium">
        <color indexed="64"/>
      </left>
      <right style="thin">
        <color indexed="64"/>
      </right>
      <top/>
      <bottom style="mediumDashed">
        <color indexed="64"/>
      </bottom>
      <diagonal/>
    </border>
    <border>
      <left style="thin">
        <color indexed="64"/>
      </left>
      <right style="thin">
        <color indexed="64"/>
      </right>
      <top style="thick">
        <color indexed="64"/>
      </top>
      <bottom style="mediumDashed">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Dashed">
        <color indexed="64"/>
      </bottom>
      <diagonal/>
    </border>
    <border>
      <left style="thin">
        <color indexed="64"/>
      </left>
      <right/>
      <top style="thin">
        <color indexed="64"/>
      </top>
      <bottom style="thick">
        <color indexed="64"/>
      </bottom>
      <diagonal/>
    </border>
    <border>
      <left style="thin">
        <color indexed="64"/>
      </left>
      <right/>
      <top/>
      <bottom style="mediumDashed">
        <color indexed="64"/>
      </bottom>
      <diagonal/>
    </border>
  </borders>
  <cellStyleXfs count="21">
    <xf numFmtId="0" fontId="0" fillId="0" borderId="0"/>
    <xf numFmtId="9" fontId="8" fillId="0" borderId="0" applyFont="0" applyFill="0" applyBorder="0" applyAlignment="0" applyProtection="0"/>
    <xf numFmtId="0" fontId="9" fillId="0" borderId="0"/>
    <xf numFmtId="0" fontId="11" fillId="0" borderId="0"/>
    <xf numFmtId="0" fontId="11" fillId="0" borderId="0"/>
    <xf numFmtId="0" fontId="11" fillId="0" borderId="0"/>
    <xf numFmtId="0" fontId="10" fillId="0" borderId="0"/>
    <xf numFmtId="43" fontId="8"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1" fillId="0" borderId="0"/>
    <xf numFmtId="0" fontId="5" fillId="0" borderId="0"/>
    <xf numFmtId="0" fontId="10" fillId="0" borderId="0"/>
    <xf numFmtId="44" fontId="8" fillId="0" borderId="0" applyFont="0" applyFill="0" applyBorder="0" applyAlignment="0" applyProtection="0"/>
    <xf numFmtId="0" fontId="19" fillId="0" borderId="0" applyNumberFormat="0" applyFill="0" applyBorder="0" applyAlignment="0" applyProtection="0"/>
    <xf numFmtId="0" fontId="24" fillId="0" borderId="0"/>
    <xf numFmtId="9" fontId="5" fillId="0" borderId="0" applyFont="0" applyFill="0" applyBorder="0" applyAlignment="0" applyProtection="0"/>
    <xf numFmtId="0" fontId="15" fillId="0" borderId="0"/>
  </cellStyleXfs>
  <cellXfs count="944">
    <xf numFmtId="0" fontId="0" fillId="0" borderId="0" xfId="0"/>
    <xf numFmtId="0" fontId="0" fillId="0" borderId="0" xfId="0" applyAlignment="1">
      <alignment vertical="top" wrapText="1"/>
    </xf>
    <xf numFmtId="0" fontId="0" fillId="0" borderId="0" xfId="0" applyAlignment="1">
      <alignment vertical="top"/>
    </xf>
    <xf numFmtId="0" fontId="1" fillId="0" borderId="0" xfId="0" applyFont="1"/>
    <xf numFmtId="0" fontId="3" fillId="0" borderId="0" xfId="0" applyFont="1" applyAlignment="1">
      <alignment vertical="top"/>
    </xf>
    <xf numFmtId="3" fontId="0" fillId="0" borderId="0" xfId="0" applyNumberFormat="1"/>
    <xf numFmtId="0" fontId="0" fillId="0" borderId="0" xfId="0" applyAlignment="1">
      <alignment horizontal="center"/>
    </xf>
    <xf numFmtId="0" fontId="2" fillId="0" borderId="0" xfId="0" applyFont="1"/>
    <xf numFmtId="0" fontId="1" fillId="0" borderId="0" xfId="0" applyFont="1" applyAlignment="1">
      <alignment vertical="top" wrapText="1"/>
    </xf>
    <xf numFmtId="0" fontId="0" fillId="0" borderId="0" xfId="0" applyAlignment="1">
      <alignment horizontal="left" vertical="top"/>
    </xf>
    <xf numFmtId="0" fontId="0" fillId="0" borderId="0" xfId="0" applyAlignment="1">
      <alignment horizontal="left"/>
    </xf>
    <xf numFmtId="165" fontId="0" fillId="0" borderId="0" xfId="7" applyNumberFormat="1" applyFont="1"/>
    <xf numFmtId="165" fontId="0" fillId="0" borderId="0" xfId="0" applyNumberFormat="1"/>
    <xf numFmtId="0" fontId="13" fillId="0" borderId="0" xfId="0" applyFont="1"/>
    <xf numFmtId="0" fontId="1" fillId="0" borderId="0" xfId="0" applyFont="1" applyAlignment="1">
      <alignment horizontal="left"/>
    </xf>
    <xf numFmtId="0" fontId="4" fillId="0" borderId="0" xfId="0" applyFont="1" applyAlignment="1">
      <alignment horizontal="right"/>
    </xf>
    <xf numFmtId="165" fontId="0" fillId="0" borderId="0" xfId="7" applyNumberFormat="1" applyFont="1" applyAlignment="1">
      <alignment horizontal="right"/>
    </xf>
    <xf numFmtId="165" fontId="4" fillId="0" borderId="0" xfId="7" applyNumberFormat="1" applyFont="1"/>
    <xf numFmtId="0" fontId="12" fillId="0" borderId="0" xfId="0" applyFont="1"/>
    <xf numFmtId="0" fontId="4" fillId="0" borderId="0" xfId="0" applyFont="1"/>
    <xf numFmtId="165" fontId="4" fillId="0" borderId="0" xfId="7" applyNumberFormat="1" applyFont="1" applyAlignment="1">
      <alignment horizontal="right"/>
    </xf>
    <xf numFmtId="0" fontId="0" fillId="0" borderId="0" xfId="0" applyAlignment="1">
      <alignment horizontal="center" wrapText="1"/>
    </xf>
    <xf numFmtId="0" fontId="1" fillId="0" borderId="0" xfId="0" applyFont="1" applyAlignment="1">
      <alignment horizontal="center" wrapText="1"/>
    </xf>
    <xf numFmtId="0" fontId="14" fillId="0" borderId="0" xfId="0" applyFont="1"/>
    <xf numFmtId="0" fontId="1" fillId="0" borderId="0" xfId="0" applyFont="1" applyAlignment="1">
      <alignment horizontal="center"/>
    </xf>
    <xf numFmtId="0" fontId="12" fillId="0" borderId="0" xfId="0" applyFont="1" applyAlignment="1">
      <alignment horizontal="center"/>
    </xf>
    <xf numFmtId="164" fontId="1" fillId="0" borderId="0" xfId="1" applyNumberFormat="1" applyFont="1" applyAlignment="1">
      <alignment horizontal="center"/>
    </xf>
    <xf numFmtId="0" fontId="16" fillId="0" borderId="0" xfId="0" applyFont="1"/>
    <xf numFmtId="3" fontId="4" fillId="0" borderId="0" xfId="0" applyNumberFormat="1" applyFont="1"/>
    <xf numFmtId="164" fontId="1" fillId="0" borderId="0" xfId="1" applyNumberFormat="1" applyFont="1"/>
    <xf numFmtId="165" fontId="4" fillId="0" borderId="0" xfId="7" applyNumberFormat="1" applyFont="1" applyAlignment="1">
      <alignment horizontal="center"/>
    </xf>
    <xf numFmtId="164" fontId="0" fillId="0" borderId="0" xfId="0" applyNumberFormat="1"/>
    <xf numFmtId="164" fontId="0" fillId="0" borderId="0" xfId="1" applyNumberFormat="1" applyFont="1"/>
    <xf numFmtId="3" fontId="1" fillId="0" borderId="0" xfId="0" applyNumberFormat="1" applyFont="1"/>
    <xf numFmtId="164" fontId="1" fillId="0" borderId="0" xfId="0" applyNumberFormat="1" applyFont="1"/>
    <xf numFmtId="164" fontId="17" fillId="0" borderId="0" xfId="1" applyNumberFormat="1" applyFont="1"/>
    <xf numFmtId="164" fontId="17" fillId="0" borderId="0" xfId="1" applyNumberFormat="1" applyFont="1" applyAlignment="1">
      <alignment horizontal="center"/>
    </xf>
    <xf numFmtId="0" fontId="19" fillId="0" borderId="0" xfId="17"/>
    <xf numFmtId="0" fontId="0" fillId="0" borderId="0" xfId="0" applyAlignment="1">
      <alignment wrapText="1"/>
    </xf>
    <xf numFmtId="0" fontId="0" fillId="0" borderId="0" xfId="0" applyAlignment="1">
      <alignment horizontal="right"/>
    </xf>
    <xf numFmtId="0" fontId="1" fillId="0" borderId="0" xfId="0" applyFont="1" applyAlignment="1">
      <alignment wrapText="1"/>
    </xf>
    <xf numFmtId="166" fontId="0" fillId="0" borderId="0" xfId="16" applyNumberFormat="1" applyFont="1" applyAlignment="1">
      <alignment horizontal="center"/>
    </xf>
    <xf numFmtId="167" fontId="0" fillId="0" borderId="0" xfId="1" applyNumberFormat="1" applyFont="1"/>
    <xf numFmtId="0" fontId="0" fillId="0" borderId="0" xfId="0" applyAlignment="1">
      <alignment horizontal="left" indent="1"/>
    </xf>
    <xf numFmtId="0" fontId="0" fillId="0" borderId="0" xfId="0" applyAlignment="1">
      <alignment horizontal="center" vertical="center" wrapText="1"/>
    </xf>
    <xf numFmtId="0" fontId="20" fillId="0" borderId="0" xfId="0" applyFont="1"/>
    <xf numFmtId="0" fontId="13" fillId="0" borderId="0" xfId="0" applyFont="1" applyAlignment="1">
      <alignment horizontal="center"/>
    </xf>
    <xf numFmtId="0" fontId="13" fillId="0" borderId="0" xfId="0" applyFont="1" applyAlignment="1">
      <alignment horizontal="right"/>
    </xf>
    <xf numFmtId="0" fontId="14" fillId="0" borderId="0" xfId="0" applyFont="1" applyAlignment="1">
      <alignment vertical="top"/>
    </xf>
    <xf numFmtId="0" fontId="14" fillId="0" borderId="0" xfId="0" applyFont="1" applyAlignment="1">
      <alignment vertical="top" wrapText="1"/>
    </xf>
    <xf numFmtId="0" fontId="0" fillId="0" borderId="0" xfId="0" applyAlignment="1">
      <alignment horizontal="right" indent="1"/>
    </xf>
    <xf numFmtId="0" fontId="3" fillId="0" borderId="0" xfId="0" applyFont="1" applyAlignment="1">
      <alignment horizontal="left" vertical="top" indent="2"/>
    </xf>
    <xf numFmtId="0" fontId="0" fillId="0" borderId="0" xfId="0" applyAlignment="1">
      <alignment horizontal="left" vertical="center" wrapText="1"/>
    </xf>
    <xf numFmtId="0" fontId="1" fillId="0" borderId="0" xfId="0" applyFont="1" applyAlignment="1">
      <alignment vertical="center"/>
    </xf>
    <xf numFmtId="0" fontId="1" fillId="0" borderId="0" xfId="0" applyFont="1" applyAlignment="1">
      <alignment horizontal="center" vertical="center"/>
    </xf>
    <xf numFmtId="0" fontId="0" fillId="0" borderId="0" xfId="0" quotePrefix="1" applyAlignment="1">
      <alignment horizontal="center"/>
    </xf>
    <xf numFmtId="3" fontId="0" fillId="0" borderId="0" xfId="0" applyNumberFormat="1" applyAlignment="1">
      <alignment horizontal="center" vertical="center"/>
    </xf>
    <xf numFmtId="0" fontId="0" fillId="0" borderId="0" xfId="0" applyAlignment="1">
      <alignment horizontal="center" vertical="center"/>
    </xf>
    <xf numFmtId="0" fontId="21" fillId="0" borderId="0" xfId="0" quotePrefix="1" applyFont="1" applyAlignment="1">
      <alignment horizontal="center" wrapText="1"/>
    </xf>
    <xf numFmtId="0" fontId="1" fillId="0" borderId="8" xfId="0" applyFont="1" applyBorder="1" applyAlignment="1">
      <alignment horizontal="center" vertical="center"/>
    </xf>
    <xf numFmtId="3" fontId="4" fillId="0" borderId="0" xfId="0" applyNumberFormat="1" applyFont="1" applyAlignment="1">
      <alignment horizontal="right"/>
    </xf>
    <xf numFmtId="9" fontId="0" fillId="0" borderId="0" xfId="0" applyNumberFormat="1"/>
    <xf numFmtId="9" fontId="0" fillId="0" borderId="0" xfId="0" applyNumberFormat="1" applyAlignment="1">
      <alignment horizontal="right"/>
    </xf>
    <xf numFmtId="164" fontId="0" fillId="0" borderId="0" xfId="0" applyNumberFormat="1" applyAlignment="1">
      <alignment horizontal="right"/>
    </xf>
    <xf numFmtId="165" fontId="4" fillId="0" borderId="0" xfId="0" applyNumberFormat="1" applyFont="1"/>
    <xf numFmtId="168" fontId="0" fillId="0" borderId="0" xfId="7" applyNumberFormat="1" applyFont="1" applyAlignment="1">
      <alignment horizontal="right"/>
    </xf>
    <xf numFmtId="0" fontId="0" fillId="2" borderId="0" xfId="0" applyFill="1"/>
    <xf numFmtId="0" fontId="18" fillId="0" borderId="0" xfId="0" applyFont="1"/>
    <xf numFmtId="164" fontId="8" fillId="0" borderId="0" xfId="1" applyNumberFormat="1" applyAlignment="1">
      <alignment horizontal="right"/>
    </xf>
    <xf numFmtId="165" fontId="0" fillId="0" borderId="0" xfId="0" applyNumberFormat="1" applyAlignment="1">
      <alignment horizontal="right"/>
    </xf>
    <xf numFmtId="164" fontId="12" fillId="0" borderId="0" xfId="0" applyNumberFormat="1" applyFont="1"/>
    <xf numFmtId="0" fontId="17" fillId="0" borderId="0" xfId="0" applyFont="1" applyAlignment="1">
      <alignment horizontal="center" wrapText="1"/>
    </xf>
    <xf numFmtId="164" fontId="17" fillId="0" borderId="0" xfId="0" applyNumberFormat="1" applyFont="1"/>
    <xf numFmtId="0" fontId="0" fillId="0" borderId="5" xfId="0" applyBorder="1"/>
    <xf numFmtId="9" fontId="8" fillId="0" borderId="0" xfId="1" applyAlignment="1">
      <alignment vertical="top" wrapText="1"/>
    </xf>
    <xf numFmtId="3" fontId="0" fillId="0" borderId="0" xfId="0" applyNumberFormat="1" applyAlignment="1">
      <alignment horizontal="right"/>
    </xf>
    <xf numFmtId="0" fontId="16" fillId="0" borderId="0" xfId="0" applyFont="1" applyAlignment="1">
      <alignment wrapText="1"/>
    </xf>
    <xf numFmtId="169" fontId="0" fillId="0" borderId="0" xfId="0" applyNumberFormat="1"/>
    <xf numFmtId="0" fontId="16" fillId="0" borderId="0" xfId="0" applyFont="1" applyAlignment="1">
      <alignment horizontal="center" wrapText="1"/>
    </xf>
    <xf numFmtId="0" fontId="2" fillId="0" borderId="0" xfId="0" applyFont="1" applyAlignment="1">
      <alignment horizontal="right"/>
    </xf>
    <xf numFmtId="165" fontId="1" fillId="0" borderId="0" xfId="7" applyNumberFormat="1" applyFont="1" applyAlignment="1">
      <alignment horizontal="right"/>
    </xf>
    <xf numFmtId="165" fontId="8" fillId="0" borderId="0" xfId="7" applyNumberFormat="1" applyAlignment="1">
      <alignment horizontal="right"/>
    </xf>
    <xf numFmtId="0" fontId="0" fillId="8" borderId="0" xfId="0" applyFill="1"/>
    <xf numFmtId="0" fontId="2" fillId="8" borderId="0" xfId="0" applyFont="1" applyFill="1" applyAlignment="1">
      <alignment horizontal="center" wrapText="1"/>
    </xf>
    <xf numFmtId="9" fontId="0" fillId="8" borderId="0" xfId="1" applyFont="1" applyFill="1" applyAlignment="1">
      <alignment horizontal="right"/>
    </xf>
    <xf numFmtId="164" fontId="0" fillId="8" borderId="0" xfId="1" applyNumberFormat="1" applyFont="1" applyFill="1" applyAlignment="1">
      <alignment horizontal="right"/>
    </xf>
    <xf numFmtId="164" fontId="0" fillId="8" borderId="0" xfId="0" applyNumberFormat="1" applyFill="1" applyAlignment="1">
      <alignment horizontal="right"/>
    </xf>
    <xf numFmtId="9" fontId="0" fillId="8" borderId="0" xfId="0" applyNumberFormat="1" applyFill="1" applyAlignment="1">
      <alignment horizontal="right"/>
    </xf>
    <xf numFmtId="3" fontId="22" fillId="8" borderId="0" xfId="0" applyNumberFormat="1" applyFont="1" applyFill="1"/>
    <xf numFmtId="3" fontId="0" fillId="8" borderId="0" xfId="0" applyNumberFormat="1" applyFill="1"/>
    <xf numFmtId="3" fontId="1" fillId="2" borderId="0" xfId="0" applyNumberFormat="1" applyFont="1" applyFill="1"/>
    <xf numFmtId="3" fontId="1" fillId="2" borderId="0" xfId="0" applyNumberFormat="1" applyFont="1" applyFill="1" applyAlignment="1">
      <alignment horizontal="right"/>
    </xf>
    <xf numFmtId="3" fontId="0" fillId="5" borderId="0" xfId="0" applyNumberFormat="1" applyFill="1" applyAlignment="1">
      <alignment horizontal="center"/>
    </xf>
    <xf numFmtId="0" fontId="18" fillId="0" borderId="0" xfId="0" applyFont="1" applyAlignment="1">
      <alignment horizontal="center"/>
    </xf>
    <xf numFmtId="0" fontId="0" fillId="0" borderId="0" xfId="0" applyAlignment="1">
      <alignment horizontal="left" wrapText="1"/>
    </xf>
    <xf numFmtId="0" fontId="25" fillId="0" borderId="0" xfId="0" applyFont="1"/>
    <xf numFmtId="0" fontId="26" fillId="0" borderId="0" xfId="0" applyFont="1"/>
    <xf numFmtId="166" fontId="1" fillId="0" borderId="0" xfId="16" applyNumberFormat="1" applyFont="1" applyAlignment="1">
      <alignment horizontal="center"/>
    </xf>
    <xf numFmtId="0" fontId="4" fillId="0" borderId="0" xfId="0" applyFont="1" applyAlignment="1">
      <alignment horizontal="right" indent="1"/>
    </xf>
    <xf numFmtId="0" fontId="0" fillId="9" borderId="0" xfId="0" applyFill="1" applyAlignment="1">
      <alignment horizontal="right"/>
    </xf>
    <xf numFmtId="0" fontId="1" fillId="0" borderId="0" xfId="0" quotePrefix="1" applyFont="1" applyAlignment="1">
      <alignment horizontal="right"/>
    </xf>
    <xf numFmtId="3" fontId="1" fillId="0" borderId="0" xfId="0" quotePrefix="1" applyNumberFormat="1" applyFont="1" applyAlignment="1">
      <alignment horizontal="right"/>
    </xf>
    <xf numFmtId="0" fontId="2" fillId="7" borderId="8" xfId="0" applyFont="1" applyFill="1" applyBorder="1"/>
    <xf numFmtId="164" fontId="4" fillId="0" borderId="0" xfId="1" applyNumberFormat="1" applyFont="1"/>
    <xf numFmtId="0" fontId="0" fillId="6" borderId="0" xfId="0" applyFill="1"/>
    <xf numFmtId="0" fontId="25" fillId="10" borderId="16" xfId="0" applyFont="1" applyFill="1" applyBorder="1" applyAlignment="1">
      <alignment horizontal="left"/>
    </xf>
    <xf numFmtId="0" fontId="0" fillId="10" borderId="17" xfId="0" applyFill="1" applyBorder="1"/>
    <xf numFmtId="0" fontId="0" fillId="10" borderId="18" xfId="0" applyFill="1" applyBorder="1"/>
    <xf numFmtId="0" fontId="26" fillId="11" borderId="19" xfId="0" applyFont="1" applyFill="1" applyBorder="1" applyAlignment="1">
      <alignment horizontal="left"/>
    </xf>
    <xf numFmtId="0" fontId="26" fillId="0" borderId="20" xfId="0" applyFont="1" applyBorder="1" applyAlignment="1">
      <alignment horizontal="left"/>
    </xf>
    <xf numFmtId="0" fontId="26" fillId="0" borderId="21" xfId="0" applyFont="1" applyBorder="1" applyAlignment="1">
      <alignment horizontal="left"/>
    </xf>
    <xf numFmtId="0" fontId="26" fillId="11" borderId="22" xfId="0" applyFont="1" applyFill="1" applyBorder="1" applyAlignment="1">
      <alignment horizontal="left"/>
    </xf>
    <xf numFmtId="3" fontId="26" fillId="0" borderId="20" xfId="0" applyNumberFormat="1" applyFont="1" applyBorder="1" applyAlignment="1">
      <alignment horizontal="left"/>
    </xf>
    <xf numFmtId="0" fontId="26" fillId="0" borderId="23" xfId="0" applyFont="1" applyBorder="1" applyAlignment="1">
      <alignment horizontal="left"/>
    </xf>
    <xf numFmtId="3" fontId="26" fillId="0" borderId="23" xfId="0" applyNumberFormat="1" applyFont="1" applyBorder="1" applyAlignment="1">
      <alignment horizontal="left"/>
    </xf>
    <xf numFmtId="0" fontId="26" fillId="0" borderId="24" xfId="0" applyFont="1" applyBorder="1" applyAlignment="1">
      <alignment horizontal="left"/>
    </xf>
    <xf numFmtId="0" fontId="26" fillId="0" borderId="0" xfId="0" applyFont="1" applyAlignment="1">
      <alignment horizontal="left"/>
    </xf>
    <xf numFmtId="3" fontId="26" fillId="0" borderId="0" xfId="0" applyNumberFormat="1" applyFont="1" applyAlignment="1">
      <alignment horizontal="left"/>
    </xf>
    <xf numFmtId="3" fontId="26" fillId="0" borderId="21" xfId="0" applyNumberFormat="1" applyFont="1" applyBorder="1" applyAlignment="1">
      <alignment horizontal="left"/>
    </xf>
    <xf numFmtId="0" fontId="29" fillId="10" borderId="17" xfId="0" applyFont="1" applyFill="1" applyBorder="1"/>
    <xf numFmtId="0" fontId="32" fillId="0" borderId="0" xfId="0" applyFont="1"/>
    <xf numFmtId="0" fontId="33" fillId="12" borderId="13" xfId="0" applyFont="1" applyFill="1" applyBorder="1" applyAlignment="1">
      <alignment horizontal="left"/>
    </xf>
    <xf numFmtId="0" fontId="33" fillId="12" borderId="12" xfId="0" applyFont="1" applyFill="1" applyBorder="1" applyAlignment="1">
      <alignment horizontal="left"/>
    </xf>
    <xf numFmtId="0" fontId="33" fillId="12" borderId="28" xfId="0" applyFont="1" applyFill="1" applyBorder="1" applyAlignment="1">
      <alignment horizontal="left"/>
    </xf>
    <xf numFmtId="0" fontId="33" fillId="13" borderId="16" xfId="0" applyFont="1" applyFill="1" applyBorder="1" applyAlignment="1">
      <alignment horizontal="left"/>
    </xf>
    <xf numFmtId="0" fontId="32" fillId="13" borderId="17" xfId="0" applyFont="1" applyFill="1" applyBorder="1"/>
    <xf numFmtId="0" fontId="32" fillId="13" borderId="18" xfId="0" applyFont="1" applyFill="1" applyBorder="1"/>
    <xf numFmtId="0" fontId="21" fillId="14" borderId="19" xfId="0" applyFont="1" applyFill="1" applyBorder="1" applyAlignment="1">
      <alignment horizontal="left"/>
    </xf>
    <xf numFmtId="165" fontId="21" fillId="0" borderId="20" xfId="7" applyNumberFormat="1" applyFont="1" applyBorder="1" applyAlignment="1">
      <alignment horizontal="right"/>
    </xf>
    <xf numFmtId="165" fontId="26" fillId="0" borderId="20" xfId="7" applyNumberFormat="1" applyFont="1" applyBorder="1" applyAlignment="1">
      <alignment horizontal="left"/>
    </xf>
    <xf numFmtId="165" fontId="0" fillId="0" borderId="20" xfId="7" applyNumberFormat="1" applyFont="1" applyBorder="1"/>
    <xf numFmtId="165" fontId="0" fillId="0" borderId="2" xfId="7" applyNumberFormat="1" applyFont="1" applyBorder="1"/>
    <xf numFmtId="0" fontId="21" fillId="14" borderId="25" xfId="0" applyFont="1" applyFill="1" applyBorder="1" applyAlignment="1">
      <alignment horizontal="left"/>
    </xf>
    <xf numFmtId="165" fontId="21" fillId="0" borderId="26" xfId="7" applyNumberFormat="1" applyFont="1" applyBorder="1" applyAlignment="1">
      <alignment horizontal="right"/>
    </xf>
    <xf numFmtId="0" fontId="21" fillId="14" borderId="22" xfId="0" applyFont="1" applyFill="1" applyBorder="1" applyAlignment="1">
      <alignment horizontal="left"/>
    </xf>
    <xf numFmtId="165" fontId="21" fillId="0" borderId="23" xfId="7" applyNumberFormat="1" applyFont="1" applyBorder="1" applyAlignment="1">
      <alignment horizontal="right"/>
    </xf>
    <xf numFmtId="165" fontId="21" fillId="0" borderId="24" xfId="7" applyNumberFormat="1" applyFont="1" applyBorder="1" applyAlignment="1">
      <alignment horizontal="right"/>
    </xf>
    <xf numFmtId="0" fontId="29" fillId="13" borderId="17" xfId="0" applyFont="1" applyFill="1" applyBorder="1"/>
    <xf numFmtId="165" fontId="0" fillId="0" borderId="4" xfId="7" applyNumberFormat="1" applyFont="1" applyBorder="1"/>
    <xf numFmtId="165" fontId="21" fillId="0" borderId="29" xfId="7" applyNumberFormat="1" applyFont="1" applyBorder="1" applyAlignment="1">
      <alignment horizontal="right"/>
    </xf>
    <xf numFmtId="165" fontId="21" fillId="0" borderId="21" xfId="7" applyNumberFormat="1" applyFont="1" applyBorder="1" applyAlignment="1">
      <alignment horizontal="right"/>
    </xf>
    <xf numFmtId="165" fontId="0" fillId="0" borderId="26" xfId="7" applyNumberFormat="1" applyFont="1" applyBorder="1"/>
    <xf numFmtId="165" fontId="21" fillId="0" borderId="27" xfId="7" applyNumberFormat="1" applyFont="1" applyBorder="1" applyAlignment="1">
      <alignment horizontal="right"/>
    </xf>
    <xf numFmtId="0" fontId="0" fillId="0" borderId="20" xfId="0" applyBorder="1"/>
    <xf numFmtId="0" fontId="0" fillId="0" borderId="34" xfId="0" applyBorder="1"/>
    <xf numFmtId="0" fontId="0" fillId="0" borderId="11" xfId="0" applyBorder="1" applyAlignment="1">
      <alignment horizontal="center"/>
    </xf>
    <xf numFmtId="1" fontId="0" fillId="0" borderId="0" xfId="0" applyNumberFormat="1"/>
    <xf numFmtId="0" fontId="0" fillId="0" borderId="42" xfId="0" applyBorder="1" applyAlignment="1">
      <alignment horizontal="center" wrapText="1"/>
    </xf>
    <xf numFmtId="0" fontId="4" fillId="0" borderId="33" xfId="0" applyFont="1" applyBorder="1" applyAlignment="1">
      <alignment horizontal="center" wrapText="1"/>
    </xf>
    <xf numFmtId="0" fontId="0" fillId="0" borderId="28" xfId="0" applyBorder="1" applyAlignment="1">
      <alignment horizontal="center" wrapText="1"/>
    </xf>
    <xf numFmtId="165" fontId="0" fillId="0" borderId="34" xfId="7" applyNumberFormat="1" applyFont="1" applyBorder="1" applyAlignment="1">
      <alignment horizontal="right"/>
    </xf>
    <xf numFmtId="164" fontId="0" fillId="0" borderId="35" xfId="1" applyNumberFormat="1" applyFont="1" applyBorder="1" applyAlignment="1">
      <alignment horizontal="right"/>
    </xf>
    <xf numFmtId="0" fontId="0" fillId="0" borderId="34" xfId="0" applyBorder="1" applyAlignment="1">
      <alignment horizontal="right"/>
    </xf>
    <xf numFmtId="166" fontId="0" fillId="0" borderId="34" xfId="16" applyNumberFormat="1" applyFont="1" applyBorder="1" applyAlignment="1">
      <alignment horizontal="right"/>
    </xf>
    <xf numFmtId="0" fontId="0" fillId="0" borderId="35" xfId="0" applyBorder="1" applyAlignment="1">
      <alignment horizontal="right"/>
    </xf>
    <xf numFmtId="166" fontId="0" fillId="0" borderId="34" xfId="0" applyNumberFormat="1" applyBorder="1" applyAlignment="1">
      <alignment horizontal="right"/>
    </xf>
    <xf numFmtId="166" fontId="4" fillId="0" borderId="0" xfId="0" applyNumberFormat="1" applyFont="1" applyAlignment="1">
      <alignment horizontal="right"/>
    </xf>
    <xf numFmtId="166" fontId="0" fillId="0" borderId="0" xfId="0" applyNumberFormat="1" applyAlignment="1">
      <alignment horizontal="right"/>
    </xf>
    <xf numFmtId="0" fontId="0" fillId="0" borderId="36"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165" fontId="4" fillId="0" borderId="0" xfId="0" applyNumberFormat="1" applyFont="1" applyAlignment="1">
      <alignment horizontal="right"/>
    </xf>
    <xf numFmtId="166" fontId="0" fillId="0" borderId="36" xfId="16" applyNumberFormat="1" applyFont="1" applyBorder="1" applyAlignment="1">
      <alignment horizontal="right"/>
    </xf>
    <xf numFmtId="165" fontId="4" fillId="0" borderId="37" xfId="0" applyNumberFormat="1" applyFont="1" applyBorder="1" applyAlignment="1">
      <alignment horizontal="right"/>
    </xf>
    <xf numFmtId="3" fontId="4" fillId="0" borderId="0" xfId="0" quotePrefix="1" applyNumberFormat="1" applyFont="1" applyAlignment="1">
      <alignment horizontal="right"/>
    </xf>
    <xf numFmtId="0" fontId="4" fillId="0" borderId="0" xfId="0" quotePrefix="1" applyFont="1" applyAlignment="1">
      <alignment horizontal="right"/>
    </xf>
    <xf numFmtId="166" fontId="4" fillId="0" borderId="0" xfId="0" quotePrefix="1" applyNumberFormat="1" applyFont="1" applyAlignment="1">
      <alignment horizontal="right"/>
    </xf>
    <xf numFmtId="165" fontId="4" fillId="0" borderId="0" xfId="7" quotePrefix="1" applyNumberFormat="1" applyFont="1" applyAlignment="1">
      <alignment horizontal="right"/>
    </xf>
    <xf numFmtId="166" fontId="4" fillId="0" borderId="0" xfId="7" quotePrefix="1" applyNumberFormat="1" applyFont="1" applyAlignment="1">
      <alignment horizontal="right"/>
    </xf>
    <xf numFmtId="165" fontId="0" fillId="0" borderId="34" xfId="1" applyNumberFormat="1" applyFont="1" applyBorder="1" applyAlignment="1">
      <alignment horizontal="right"/>
    </xf>
    <xf numFmtId="165" fontId="4" fillId="0" borderId="0" xfId="1" applyNumberFormat="1" applyFont="1" applyAlignment="1">
      <alignment horizontal="right"/>
    </xf>
    <xf numFmtId="0" fontId="0" fillId="0" borderId="34" xfId="1" applyNumberFormat="1" applyFont="1" applyBorder="1" applyAlignment="1">
      <alignment horizontal="right"/>
    </xf>
    <xf numFmtId="0" fontId="4" fillId="0" borderId="0" xfId="1" applyNumberFormat="1" applyFont="1" applyAlignment="1">
      <alignment horizontal="right"/>
    </xf>
    <xf numFmtId="164" fontId="0" fillId="0" borderId="34" xfId="1" applyNumberFormat="1" applyFont="1" applyBorder="1" applyAlignment="1">
      <alignment horizontal="right"/>
    </xf>
    <xf numFmtId="164" fontId="0" fillId="0" borderId="0" xfId="1" applyNumberFormat="1" applyFont="1" applyAlignment="1">
      <alignment horizontal="right"/>
    </xf>
    <xf numFmtId="1" fontId="0" fillId="0" borderId="34" xfId="1" applyNumberFormat="1" applyFont="1" applyBorder="1" applyAlignment="1">
      <alignment horizontal="right"/>
    </xf>
    <xf numFmtId="1" fontId="0" fillId="0" borderId="0" xfId="1" applyNumberFormat="1" applyFont="1" applyAlignment="1">
      <alignment horizontal="right"/>
    </xf>
    <xf numFmtId="10" fontId="0" fillId="0" borderId="35" xfId="1" applyNumberFormat="1" applyFont="1" applyBorder="1" applyAlignment="1">
      <alignment horizontal="right"/>
    </xf>
    <xf numFmtId="1" fontId="4" fillId="0" borderId="0" xfId="0" applyNumberFormat="1" applyFont="1" applyAlignment="1">
      <alignment horizontal="right"/>
    </xf>
    <xf numFmtId="1" fontId="0" fillId="0" borderId="34" xfId="0" applyNumberFormat="1" applyBorder="1" applyAlignment="1">
      <alignment horizontal="right"/>
    </xf>
    <xf numFmtId="1" fontId="0" fillId="0" borderId="0" xfId="0" applyNumberFormat="1" applyAlignment="1">
      <alignment horizontal="right"/>
    </xf>
    <xf numFmtId="1" fontId="0" fillId="0" borderId="36" xfId="0" applyNumberFormat="1" applyBorder="1" applyAlignment="1">
      <alignment horizontal="right"/>
    </xf>
    <xf numFmtId="1" fontId="0" fillId="0" borderId="37" xfId="0" applyNumberFormat="1" applyBorder="1" applyAlignment="1">
      <alignment horizontal="right"/>
    </xf>
    <xf numFmtId="0" fontId="1" fillId="0" borderId="0" xfId="0" applyFont="1" applyAlignment="1">
      <alignment horizontal="center" vertical="center" wrapText="1"/>
    </xf>
    <xf numFmtId="0" fontId="0" fillId="0" borderId="20" xfId="0" applyBorder="1" applyAlignment="1">
      <alignment horizontal="center" vertical="center" wrapText="1"/>
    </xf>
    <xf numFmtId="166" fontId="8" fillId="0" borderId="20" xfId="16" applyNumberFormat="1" applyBorder="1" applyAlignment="1">
      <alignment horizontal="center" vertical="center" wrapText="1"/>
    </xf>
    <xf numFmtId="166" fontId="8" fillId="0" borderId="20" xfId="16" applyNumberFormat="1" applyBorder="1" applyAlignment="1">
      <alignment vertical="center" wrapText="1"/>
    </xf>
    <xf numFmtId="166" fontId="8" fillId="0" borderId="20" xfId="16" applyNumberFormat="1" applyBorder="1" applyAlignment="1">
      <alignment vertical="center"/>
    </xf>
    <xf numFmtId="166" fontId="0" fillId="0" borderId="20" xfId="16" applyNumberFormat="1" applyFont="1" applyBorder="1" applyAlignment="1">
      <alignment horizontal="center" vertical="center"/>
    </xf>
    <xf numFmtId="0" fontId="0" fillId="0" borderId="17" xfId="0" applyBorder="1" applyAlignment="1">
      <alignment horizontal="center" vertical="center" wrapText="1"/>
    </xf>
    <xf numFmtId="166" fontId="8" fillId="0" borderId="17" xfId="16" applyNumberFormat="1" applyBorder="1" applyAlignment="1">
      <alignment horizontal="center" vertical="center" wrapText="1"/>
    </xf>
    <xf numFmtId="166" fontId="8" fillId="0" borderId="17" xfId="16" applyNumberFormat="1" applyBorder="1" applyAlignment="1">
      <alignment vertical="center" wrapText="1"/>
    </xf>
    <xf numFmtId="166" fontId="8" fillId="0" borderId="17" xfId="16" applyNumberFormat="1" applyBorder="1" applyAlignment="1">
      <alignment horizontal="center" vertical="center"/>
    </xf>
    <xf numFmtId="166" fontId="8" fillId="0" borderId="18" xfId="16" applyNumberFormat="1" applyBorder="1" applyAlignment="1">
      <alignment vertical="center" wrapText="1"/>
    </xf>
    <xf numFmtId="166" fontId="8" fillId="0" borderId="21" xfId="16" applyNumberFormat="1" applyBorder="1" applyAlignment="1">
      <alignment vertical="center" wrapText="1"/>
    </xf>
    <xf numFmtId="166" fontId="8" fillId="0" borderId="21" xfId="16" applyNumberFormat="1" applyBorder="1" applyAlignment="1">
      <alignment vertical="center"/>
    </xf>
    <xf numFmtId="0" fontId="0" fillId="0" borderId="23" xfId="0" applyBorder="1" applyAlignment="1">
      <alignment horizontal="center" vertical="center" wrapText="1"/>
    </xf>
    <xf numFmtId="166" fontId="8" fillId="4" borderId="23" xfId="16" applyNumberFormat="1" applyFill="1" applyBorder="1" applyAlignment="1">
      <alignment vertical="center"/>
    </xf>
    <xf numFmtId="166" fontId="8" fillId="4" borderId="24" xfId="16" applyNumberFormat="1" applyFill="1" applyBorder="1" applyAlignment="1">
      <alignment vertical="center"/>
    </xf>
    <xf numFmtId="166" fontId="8" fillId="0" borderId="17" xfId="16" applyNumberFormat="1" applyBorder="1" applyAlignment="1">
      <alignment vertical="center"/>
    </xf>
    <xf numFmtId="166" fontId="8" fillId="0" borderId="18" xfId="16" applyNumberFormat="1" applyBorder="1" applyAlignment="1">
      <alignment vertical="center"/>
    </xf>
    <xf numFmtId="166" fontId="8" fillId="0" borderId="23" xfId="16" applyNumberFormat="1" applyBorder="1" applyAlignment="1">
      <alignment vertical="center"/>
    </xf>
    <xf numFmtId="166" fontId="8" fillId="0" borderId="24" xfId="16" applyNumberFormat="1" applyBorder="1" applyAlignment="1">
      <alignment vertical="center"/>
    </xf>
    <xf numFmtId="0" fontId="1" fillId="0" borderId="20" xfId="0" applyFont="1" applyBorder="1" applyAlignment="1">
      <alignment horizontal="center" vertical="center" wrapText="1"/>
    </xf>
    <xf numFmtId="9" fontId="8" fillId="0" borderId="20" xfId="1" applyBorder="1" applyAlignment="1">
      <alignment horizontal="center" vertical="center" wrapText="1"/>
    </xf>
    <xf numFmtId="9" fontId="0" fillId="0" borderId="20" xfId="1" applyFont="1" applyBorder="1" applyAlignment="1">
      <alignment horizontal="center" vertical="center" wrapText="1"/>
    </xf>
    <xf numFmtId="9" fontId="1" fillId="0" borderId="20" xfId="1" applyFont="1" applyBorder="1" applyAlignment="1">
      <alignment horizontal="center" vertical="center" wrapText="1"/>
    </xf>
    <xf numFmtId="9" fontId="0" fillId="0" borderId="20" xfId="1" applyFont="1" applyBorder="1" applyAlignment="1">
      <alignment horizontal="center" vertical="center"/>
    </xf>
    <xf numFmtId="0" fontId="0" fillId="0" borderId="0" xfId="0" applyAlignment="1">
      <alignment horizontal="left" indent="2"/>
    </xf>
    <xf numFmtId="0" fontId="36" fillId="0" borderId="0" xfId="0" applyFont="1" applyAlignment="1">
      <alignment vertical="top"/>
    </xf>
    <xf numFmtId="0" fontId="31" fillId="0" borderId="0" xfId="0" applyFont="1" applyAlignment="1">
      <alignment horizontal="center"/>
    </xf>
    <xf numFmtId="0" fontId="32" fillId="0" borderId="0" xfId="0" applyFont="1" applyAlignment="1">
      <alignment horizontal="center"/>
    </xf>
    <xf numFmtId="0" fontId="32" fillId="0" borderId="5" xfId="0" applyFont="1" applyBorder="1"/>
    <xf numFmtId="0" fontId="37" fillId="0" borderId="0" xfId="0" applyFont="1" applyAlignment="1">
      <alignment vertical="top"/>
    </xf>
    <xf numFmtId="0" fontId="32" fillId="0" borderId="0" xfId="0" applyFont="1" applyAlignment="1">
      <alignment horizontal="left"/>
    </xf>
    <xf numFmtId="0" fontId="32" fillId="0" borderId="0" xfId="0" applyFont="1" applyAlignment="1">
      <alignment horizontal="center" wrapText="1"/>
    </xf>
    <xf numFmtId="0" fontId="32" fillId="0" borderId="1" xfId="0" applyFont="1" applyBorder="1" applyAlignment="1">
      <alignment horizontal="center" wrapText="1"/>
    </xf>
    <xf numFmtId="0" fontId="21" fillId="19" borderId="1" xfId="0" applyFont="1" applyFill="1" applyBorder="1" applyAlignment="1">
      <alignment horizontal="center" wrapText="1"/>
    </xf>
    <xf numFmtId="0" fontId="21" fillId="19" borderId="5" xfId="0" applyFont="1" applyFill="1" applyBorder="1" applyAlignment="1">
      <alignment horizontal="center" wrapText="1"/>
    </xf>
    <xf numFmtId="0" fontId="32" fillId="0" borderId="1" xfId="0" applyFont="1" applyBorder="1"/>
    <xf numFmtId="165" fontId="32" fillId="0" borderId="0" xfId="0" applyNumberFormat="1" applyFont="1"/>
    <xf numFmtId="164" fontId="32" fillId="0" borderId="1" xfId="0" applyNumberFormat="1" applyFont="1" applyBorder="1"/>
    <xf numFmtId="164" fontId="32" fillId="0" borderId="0" xfId="0" applyNumberFormat="1" applyFont="1"/>
    <xf numFmtId="164" fontId="32" fillId="0" borderId="5" xfId="0" applyNumberFormat="1" applyFont="1" applyBorder="1"/>
    <xf numFmtId="0" fontId="38" fillId="0" borderId="0" xfId="0" applyFont="1"/>
    <xf numFmtId="165" fontId="38" fillId="0" borderId="0" xfId="0" applyNumberFormat="1" applyFont="1"/>
    <xf numFmtId="0" fontId="38" fillId="0" borderId="1" xfId="0" applyFont="1" applyBorder="1"/>
    <xf numFmtId="0" fontId="38" fillId="0" borderId="5" xfId="0" applyFont="1" applyBorder="1"/>
    <xf numFmtId="0" fontId="39" fillId="0" borderId="0" xfId="0" applyFont="1" applyAlignment="1">
      <alignment horizontal="center"/>
    </xf>
    <xf numFmtId="0" fontId="39" fillId="0" borderId="0" xfId="0" applyFont="1" applyAlignment="1">
      <alignment horizontal="left"/>
    </xf>
    <xf numFmtId="165" fontId="31" fillId="0" borderId="0" xfId="0" applyNumberFormat="1" applyFont="1" applyAlignment="1">
      <alignment horizontal="center"/>
    </xf>
    <xf numFmtId="0" fontId="31" fillId="0" borderId="0" xfId="0" applyFont="1" applyAlignment="1">
      <alignment horizontal="left"/>
    </xf>
    <xf numFmtId="164" fontId="38" fillId="0" borderId="1" xfId="0" applyNumberFormat="1" applyFont="1" applyBorder="1"/>
    <xf numFmtId="0" fontId="38" fillId="0" borderId="3" xfId="0" applyFont="1" applyBorder="1"/>
    <xf numFmtId="0" fontId="38" fillId="0" borderId="6" xfId="0" applyFont="1" applyBorder="1"/>
    <xf numFmtId="0" fontId="38" fillId="0" borderId="7" xfId="0" applyFont="1" applyBorder="1"/>
    <xf numFmtId="165" fontId="32" fillId="0" borderId="20" xfId="0" applyNumberFormat="1" applyFont="1" applyBorder="1"/>
    <xf numFmtId="165" fontId="38" fillId="0" borderId="20" xfId="0" applyNumberFormat="1" applyFont="1" applyBorder="1"/>
    <xf numFmtId="165" fontId="32" fillId="0" borderId="20" xfId="0" applyNumberFormat="1" applyFont="1" applyBorder="1" applyAlignment="1">
      <alignment horizontal="right"/>
    </xf>
    <xf numFmtId="165" fontId="38" fillId="0" borderId="20" xfId="0" applyNumberFormat="1" applyFont="1" applyBorder="1" applyAlignment="1">
      <alignment horizontal="right"/>
    </xf>
    <xf numFmtId="165" fontId="32" fillId="0" borderId="31" xfId="0" applyNumberFormat="1" applyFont="1" applyBorder="1"/>
    <xf numFmtId="165" fontId="38" fillId="0" borderId="31" xfId="0" applyNumberFormat="1" applyFont="1" applyBorder="1"/>
    <xf numFmtId="165" fontId="32" fillId="0" borderId="31" xfId="0" applyNumberFormat="1" applyFont="1" applyBorder="1" applyAlignment="1">
      <alignment horizontal="right"/>
    </xf>
    <xf numFmtId="165" fontId="38" fillId="0" borderId="31" xfId="0" applyNumberFormat="1" applyFont="1" applyBorder="1" applyAlignment="1">
      <alignment horizontal="right"/>
    </xf>
    <xf numFmtId="165" fontId="32" fillId="0" borderId="19" xfId="0" applyNumberFormat="1" applyFont="1" applyBorder="1"/>
    <xf numFmtId="164" fontId="31" fillId="0" borderId="21" xfId="0" applyNumberFormat="1" applyFont="1" applyBorder="1" applyAlignment="1">
      <alignment horizontal="center"/>
    </xf>
    <xf numFmtId="165" fontId="38" fillId="0" borderId="19" xfId="0" applyNumberFormat="1" applyFont="1" applyBorder="1"/>
    <xf numFmtId="165" fontId="39" fillId="0" borderId="21" xfId="0" applyNumberFormat="1" applyFont="1" applyBorder="1" applyAlignment="1">
      <alignment horizontal="center"/>
    </xf>
    <xf numFmtId="165" fontId="32" fillId="0" borderId="19" xfId="0" applyNumberFormat="1" applyFont="1" applyBorder="1" applyAlignment="1">
      <alignment horizontal="right"/>
    </xf>
    <xf numFmtId="165" fontId="38" fillId="0" borderId="19" xfId="0" applyNumberFormat="1" applyFont="1" applyBorder="1" applyAlignment="1">
      <alignment horizontal="right"/>
    </xf>
    <xf numFmtId="0" fontId="39" fillId="0" borderId="21" xfId="0" applyFont="1" applyBorder="1" applyAlignment="1">
      <alignment horizontal="center"/>
    </xf>
    <xf numFmtId="165" fontId="38" fillId="0" borderId="22" xfId="0" applyNumberFormat="1" applyFont="1" applyBorder="1"/>
    <xf numFmtId="0" fontId="39" fillId="0" borderId="24" xfId="0" applyFont="1" applyBorder="1" applyAlignment="1">
      <alignment horizontal="center"/>
    </xf>
    <xf numFmtId="165" fontId="38" fillId="0" borderId="23" xfId="0" applyNumberFormat="1" applyFont="1" applyBorder="1"/>
    <xf numFmtId="164" fontId="40" fillId="0" borderId="21" xfId="0" applyNumberFormat="1" applyFont="1" applyBorder="1" applyAlignment="1">
      <alignment horizontal="center"/>
    </xf>
    <xf numFmtId="164" fontId="40" fillId="0" borderId="24" xfId="0" applyNumberFormat="1" applyFont="1" applyBorder="1" applyAlignment="1">
      <alignment horizontal="center"/>
    </xf>
    <xf numFmtId="165" fontId="32" fillId="0" borderId="17" xfId="0" applyNumberFormat="1" applyFont="1" applyBorder="1"/>
    <xf numFmtId="0" fontId="31" fillId="0" borderId="40" xfId="0" applyFont="1" applyBorder="1" applyAlignment="1">
      <alignment horizontal="right"/>
    </xf>
    <xf numFmtId="0" fontId="38" fillId="0" borderId="40" xfId="0" applyFont="1" applyBorder="1" applyAlignment="1">
      <alignment horizontal="right"/>
    </xf>
    <xf numFmtId="0" fontId="38" fillId="0" borderId="46" xfId="0" applyFont="1" applyBorder="1" applyAlignment="1">
      <alignment horizontal="right"/>
    </xf>
    <xf numFmtId="165" fontId="32" fillId="0" borderId="47" xfId="0" applyNumberFormat="1" applyFont="1" applyBorder="1"/>
    <xf numFmtId="165" fontId="38" fillId="0" borderId="48" xfId="0" applyNumberFormat="1" applyFont="1" applyBorder="1"/>
    <xf numFmtId="165" fontId="32" fillId="0" borderId="16" xfId="0" applyNumberFormat="1" applyFont="1" applyBorder="1"/>
    <xf numFmtId="165" fontId="39" fillId="0" borderId="24" xfId="0" applyNumberFormat="1" applyFont="1" applyBorder="1" applyAlignment="1">
      <alignment horizontal="center"/>
    </xf>
    <xf numFmtId="0" fontId="31" fillId="0" borderId="49" xfId="0" applyFont="1" applyBorder="1" applyAlignment="1">
      <alignment horizontal="right"/>
    </xf>
    <xf numFmtId="0" fontId="37" fillId="0" borderId="8" xfId="0" applyFont="1" applyBorder="1" applyAlignment="1">
      <alignment horizontal="left"/>
    </xf>
    <xf numFmtId="0" fontId="31" fillId="0" borderId="50" xfId="0" applyFont="1" applyBorder="1" applyAlignment="1">
      <alignment horizontal="right"/>
    </xf>
    <xf numFmtId="0" fontId="38" fillId="0" borderId="50" xfId="0" applyFont="1" applyBorder="1" applyAlignment="1">
      <alignment horizontal="right"/>
    </xf>
    <xf numFmtId="0" fontId="38" fillId="0" borderId="51" xfId="0" applyFont="1" applyBorder="1" applyAlignment="1">
      <alignment horizontal="right"/>
    </xf>
    <xf numFmtId="0" fontId="31" fillId="0" borderId="52" xfId="0" applyFont="1" applyBorder="1" applyAlignment="1">
      <alignment horizontal="right"/>
    </xf>
    <xf numFmtId="165" fontId="32" fillId="0" borderId="41" xfId="0" applyNumberFormat="1" applyFont="1" applyBorder="1"/>
    <xf numFmtId="165" fontId="32" fillId="0" borderId="4" xfId="0" applyNumberFormat="1" applyFont="1" applyBorder="1"/>
    <xf numFmtId="164" fontId="31" fillId="0" borderId="29" xfId="0" applyNumberFormat="1" applyFont="1" applyBorder="1" applyAlignment="1">
      <alignment horizontal="center"/>
    </xf>
    <xf numFmtId="0" fontId="31" fillId="0" borderId="10" xfId="0" applyFont="1" applyBorder="1" applyAlignment="1">
      <alignment horizontal="center"/>
    </xf>
    <xf numFmtId="0" fontId="32" fillId="0" borderId="13" xfId="0" applyFont="1" applyBorder="1" applyAlignment="1">
      <alignment horizontal="center" wrapText="1"/>
    </xf>
    <xf numFmtId="0" fontId="32" fillId="0" borderId="14" xfId="0" applyFont="1" applyBorder="1" applyAlignment="1">
      <alignment horizontal="center" wrapText="1"/>
    </xf>
    <xf numFmtId="0" fontId="31" fillId="0" borderId="15" xfId="0" applyFont="1" applyBorder="1" applyAlignment="1">
      <alignment horizontal="center" wrapText="1"/>
    </xf>
    <xf numFmtId="0" fontId="32" fillId="0" borderId="10" xfId="0" applyFont="1" applyBorder="1" applyAlignment="1">
      <alignment horizontal="left"/>
    </xf>
    <xf numFmtId="0" fontId="32" fillId="0" borderId="10" xfId="0" applyFont="1" applyBorder="1" applyAlignment="1">
      <alignment horizontal="center"/>
    </xf>
    <xf numFmtId="4" fontId="31" fillId="0" borderId="10" xfId="0" applyNumberFormat="1" applyFont="1" applyBorder="1" applyAlignment="1">
      <alignment horizontal="center"/>
    </xf>
    <xf numFmtId="164" fontId="31" fillId="0" borderId="18" xfId="0" applyNumberFormat="1" applyFont="1" applyBorder="1" applyAlignment="1">
      <alignment horizontal="center"/>
    </xf>
    <xf numFmtId="0" fontId="32" fillId="0" borderId="53" xfId="0" applyFont="1" applyBorder="1" applyAlignment="1">
      <alignment horizontal="center" wrapText="1"/>
    </xf>
    <xf numFmtId="0" fontId="32" fillId="0" borderId="54" xfId="0" applyFont="1" applyBorder="1" applyAlignment="1">
      <alignment horizontal="center" wrapText="1"/>
    </xf>
    <xf numFmtId="0" fontId="31" fillId="0" borderId="55" xfId="0" applyFont="1" applyBorder="1" applyAlignment="1">
      <alignment horizontal="center" wrapText="1"/>
    </xf>
    <xf numFmtId="0" fontId="37" fillId="0" borderId="56" xfId="0" applyFont="1" applyBorder="1" applyAlignment="1">
      <alignment horizontal="left"/>
    </xf>
    <xf numFmtId="0" fontId="31" fillId="0" borderId="39" xfId="0" applyFont="1" applyBorder="1" applyAlignment="1">
      <alignment horizontal="right"/>
    </xf>
    <xf numFmtId="165" fontId="32" fillId="3" borderId="16" xfId="0" applyNumberFormat="1" applyFont="1" applyFill="1" applyBorder="1"/>
    <xf numFmtId="165" fontId="32" fillId="3" borderId="17" xfId="0" applyNumberFormat="1" applyFont="1" applyFill="1" applyBorder="1"/>
    <xf numFmtId="164" fontId="31" fillId="3" borderId="18" xfId="0" applyNumberFormat="1" applyFont="1" applyFill="1" applyBorder="1" applyAlignment="1">
      <alignment horizontal="center"/>
    </xf>
    <xf numFmtId="165" fontId="38" fillId="3" borderId="19" xfId="0" applyNumberFormat="1" applyFont="1" applyFill="1" applyBorder="1"/>
    <xf numFmtId="165" fontId="38" fillId="3" borderId="20" xfId="0" applyNumberFormat="1" applyFont="1" applyFill="1" applyBorder="1"/>
    <xf numFmtId="165" fontId="39" fillId="3" borderId="21" xfId="0" applyNumberFormat="1" applyFont="1" applyFill="1" applyBorder="1" applyAlignment="1">
      <alignment horizontal="center"/>
    </xf>
    <xf numFmtId="165" fontId="32" fillId="3" borderId="19" xfId="0" applyNumberFormat="1" applyFont="1" applyFill="1" applyBorder="1" applyAlignment="1">
      <alignment horizontal="right"/>
    </xf>
    <xf numFmtId="165" fontId="32" fillId="3" borderId="20" xfId="0" applyNumberFormat="1" applyFont="1" applyFill="1" applyBorder="1" applyAlignment="1">
      <alignment horizontal="right"/>
    </xf>
    <xf numFmtId="164" fontId="31" fillId="3" borderId="21" xfId="0" applyNumberFormat="1" applyFont="1" applyFill="1" applyBorder="1" applyAlignment="1">
      <alignment horizontal="center"/>
    </xf>
    <xf numFmtId="0" fontId="39" fillId="3" borderId="21" xfId="0" applyFont="1" applyFill="1" applyBorder="1" applyAlignment="1">
      <alignment horizontal="center"/>
    </xf>
    <xf numFmtId="165" fontId="32" fillId="3" borderId="19" xfId="0" applyNumberFormat="1" applyFont="1" applyFill="1" applyBorder="1"/>
    <xf numFmtId="165" fontId="32" fillId="3" borderId="20" xfId="0" applyNumberFormat="1" applyFont="1" applyFill="1" applyBorder="1"/>
    <xf numFmtId="165" fontId="38" fillId="3" borderId="22" xfId="0" applyNumberFormat="1" applyFont="1" applyFill="1" applyBorder="1"/>
    <xf numFmtId="165" fontId="38" fillId="3" borderId="23" xfId="0" applyNumberFormat="1" applyFont="1" applyFill="1" applyBorder="1"/>
    <xf numFmtId="165" fontId="39" fillId="3" borderId="24" xfId="0" applyNumberFormat="1" applyFont="1" applyFill="1" applyBorder="1" applyAlignment="1">
      <alignment horizontal="center"/>
    </xf>
    <xf numFmtId="165" fontId="38" fillId="3" borderId="19" xfId="0" applyNumberFormat="1" applyFont="1" applyFill="1" applyBorder="1" applyAlignment="1">
      <alignment horizontal="right"/>
    </xf>
    <xf numFmtId="165" fontId="38" fillId="3" borderId="20" xfId="0" applyNumberFormat="1" applyFont="1" applyFill="1" applyBorder="1" applyAlignment="1">
      <alignment horizontal="right"/>
    </xf>
    <xf numFmtId="165" fontId="32" fillId="3" borderId="7" xfId="0" applyNumberFormat="1" applyFont="1" applyFill="1" applyBorder="1"/>
    <xf numFmtId="165" fontId="32" fillId="3" borderId="4" xfId="0" applyNumberFormat="1" applyFont="1" applyFill="1" applyBorder="1"/>
    <xf numFmtId="164" fontId="31" fillId="3" borderId="29" xfId="0" applyNumberFormat="1" applyFont="1" applyFill="1" applyBorder="1" applyAlignment="1">
      <alignment horizontal="center"/>
    </xf>
    <xf numFmtId="165" fontId="38" fillId="3" borderId="31" xfId="0" applyNumberFormat="1" applyFont="1" applyFill="1" applyBorder="1"/>
    <xf numFmtId="165" fontId="32" fillId="3" borderId="31" xfId="0" applyNumberFormat="1" applyFont="1" applyFill="1" applyBorder="1" applyAlignment="1">
      <alignment horizontal="right"/>
    </xf>
    <xf numFmtId="165" fontId="38" fillId="3" borderId="31" xfId="0" applyNumberFormat="1" applyFont="1" applyFill="1" applyBorder="1" applyAlignment="1">
      <alignment horizontal="right"/>
    </xf>
    <xf numFmtId="165" fontId="32" fillId="3" borderId="31" xfId="0" applyNumberFormat="1" applyFont="1" applyFill="1" applyBorder="1"/>
    <xf numFmtId="165" fontId="38" fillId="3" borderId="48" xfId="0" applyNumberFormat="1" applyFont="1" applyFill="1" applyBorder="1"/>
    <xf numFmtId="165" fontId="38" fillId="3" borderId="23" xfId="0" applyNumberFormat="1" applyFont="1" applyFill="1" applyBorder="1" applyAlignment="1">
      <alignment horizontal="right"/>
    </xf>
    <xf numFmtId="0" fontId="39" fillId="3" borderId="24" xfId="0" applyFont="1" applyFill="1" applyBorder="1" applyAlignment="1">
      <alignment horizontal="center"/>
    </xf>
    <xf numFmtId="0" fontId="32" fillId="3" borderId="13" xfId="0" applyFont="1" applyFill="1" applyBorder="1" applyAlignment="1">
      <alignment horizontal="center" wrapText="1"/>
    </xf>
    <xf numFmtId="0" fontId="32" fillId="3" borderId="14" xfId="0" applyFont="1" applyFill="1" applyBorder="1" applyAlignment="1">
      <alignment horizontal="center" wrapText="1"/>
    </xf>
    <xf numFmtId="0" fontId="31" fillId="3" borderId="15" xfId="0" applyFont="1" applyFill="1" applyBorder="1" applyAlignment="1">
      <alignment horizontal="center" wrapText="1"/>
    </xf>
    <xf numFmtId="165" fontId="32" fillId="3" borderId="41" xfId="0" applyNumberFormat="1" applyFont="1" applyFill="1" applyBorder="1"/>
    <xf numFmtId="164" fontId="40" fillId="3" borderId="21" xfId="0" applyNumberFormat="1" applyFont="1" applyFill="1" applyBorder="1" applyAlignment="1">
      <alignment horizontal="center"/>
    </xf>
    <xf numFmtId="164" fontId="40" fillId="3" borderId="24" xfId="0" applyNumberFormat="1" applyFont="1" applyFill="1" applyBorder="1" applyAlignment="1">
      <alignment horizontal="center"/>
    </xf>
    <xf numFmtId="0" fontId="0" fillId="0" borderId="4" xfId="0" applyBorder="1" applyAlignment="1">
      <alignment horizontal="center" vertical="center" wrapText="1"/>
    </xf>
    <xf numFmtId="166" fontId="8" fillId="0" borderId="4" xfId="16" applyNumberFormat="1" applyBorder="1" applyAlignment="1">
      <alignment horizontal="center" vertical="center" wrapText="1"/>
    </xf>
    <xf numFmtId="166" fontId="8" fillId="0" borderId="4" xfId="16" applyNumberFormat="1" applyBorder="1" applyAlignment="1">
      <alignment vertical="center" wrapText="1"/>
    </xf>
    <xf numFmtId="166" fontId="8" fillId="0" borderId="4" xfId="16" applyNumberFormat="1" applyBorder="1" applyAlignment="1">
      <alignment horizontal="center" vertical="center"/>
    </xf>
    <xf numFmtId="166" fontId="8" fillId="0" borderId="29" xfId="16" applyNumberFormat="1" applyBorder="1" applyAlignment="1">
      <alignment vertical="center" wrapText="1"/>
    </xf>
    <xf numFmtId="168" fontId="8" fillId="0" borderId="4" xfId="7" applyNumberFormat="1" applyBorder="1" applyAlignment="1">
      <alignment horizontal="center" vertical="center" wrapText="1"/>
    </xf>
    <xf numFmtId="168" fontId="8" fillId="0" borderId="4" xfId="7" applyNumberFormat="1" applyBorder="1" applyAlignment="1">
      <alignment vertical="center" wrapText="1"/>
    </xf>
    <xf numFmtId="168" fontId="8" fillId="0" borderId="4" xfId="7" applyNumberFormat="1" applyBorder="1" applyAlignment="1">
      <alignment horizontal="center" vertical="center"/>
    </xf>
    <xf numFmtId="166" fontId="8" fillId="4" borderId="4" xfId="16" applyNumberFormat="1" applyFill="1" applyBorder="1" applyAlignment="1">
      <alignment horizontal="center" vertical="center" wrapText="1"/>
    </xf>
    <xf numFmtId="166" fontId="8" fillId="4" borderId="4" xfId="16" applyNumberFormat="1" applyFill="1" applyBorder="1" applyAlignment="1">
      <alignment vertical="center" wrapText="1"/>
    </xf>
    <xf numFmtId="43" fontId="8" fillId="0" borderId="20" xfId="7" applyBorder="1" applyAlignment="1">
      <alignment horizontal="center" vertical="center" wrapText="1"/>
    </xf>
    <xf numFmtId="165" fontId="0" fillId="0" borderId="0" xfId="7" applyNumberFormat="1" applyFont="1" applyAlignment="1">
      <alignment horizontal="center"/>
    </xf>
    <xf numFmtId="165" fontId="16" fillId="0" borderId="0" xfId="7" applyNumberFormat="1" applyFont="1"/>
    <xf numFmtId="165" fontId="0" fillId="0" borderId="0" xfId="7" applyNumberFormat="1" applyFont="1" applyAlignment="1">
      <alignment horizontal="left" indent="1"/>
    </xf>
    <xf numFmtId="0" fontId="0" fillId="0" borderId="16" xfId="0" applyBorder="1" applyAlignment="1">
      <alignment horizontal="center" vertical="center" wrapText="1"/>
    </xf>
    <xf numFmtId="0" fontId="0" fillId="0" borderId="0" xfId="7" applyNumberFormat="1" applyFont="1" applyAlignment="1">
      <alignment horizontal="center"/>
    </xf>
    <xf numFmtId="0" fontId="8" fillId="0" borderId="0" xfId="7" applyNumberFormat="1" applyAlignment="1">
      <alignment horizontal="right"/>
    </xf>
    <xf numFmtId="0" fontId="0" fillId="0" borderId="0" xfId="7" applyNumberFormat="1" applyFont="1" applyAlignment="1">
      <alignment horizontal="right"/>
    </xf>
    <xf numFmtId="0" fontId="1" fillId="0" borderId="0" xfId="7" applyNumberFormat="1" applyFont="1" applyAlignment="1">
      <alignment horizontal="right"/>
    </xf>
    <xf numFmtId="0" fontId="0" fillId="0" borderId="0" xfId="0" applyAlignment="1">
      <alignment vertical="center"/>
    </xf>
    <xf numFmtId="0" fontId="13" fillId="0" borderId="0" xfId="0" applyFont="1" applyAlignment="1">
      <alignment horizontal="center" vertical="center"/>
    </xf>
    <xf numFmtId="3" fontId="0" fillId="20" borderId="19" xfId="0" applyNumberFormat="1" applyFill="1" applyBorder="1" applyAlignment="1">
      <alignment horizontal="right"/>
    </xf>
    <xf numFmtId="0" fontId="4" fillId="20" borderId="20" xfId="0" applyFont="1" applyFill="1" applyBorder="1" applyAlignment="1">
      <alignment horizontal="right"/>
    </xf>
    <xf numFmtId="165" fontId="0" fillId="20" borderId="19" xfId="7" applyNumberFormat="1" applyFont="1" applyFill="1" applyBorder="1" applyAlignment="1">
      <alignment horizontal="right"/>
    </xf>
    <xf numFmtId="165" fontId="0" fillId="20" borderId="22" xfId="7" applyNumberFormat="1" applyFont="1" applyFill="1" applyBorder="1" applyAlignment="1">
      <alignment horizontal="right"/>
    </xf>
    <xf numFmtId="3" fontId="0" fillId="20" borderId="31" xfId="0" applyNumberFormat="1" applyFill="1" applyBorder="1" applyAlignment="1">
      <alignment horizontal="right"/>
    </xf>
    <xf numFmtId="0" fontId="0" fillId="20" borderId="31" xfId="0" applyFill="1" applyBorder="1" applyAlignment="1">
      <alignment horizontal="right"/>
    </xf>
    <xf numFmtId="165" fontId="0" fillId="20" borderId="31" xfId="7" applyNumberFormat="1" applyFont="1" applyFill="1" applyBorder="1" applyAlignment="1">
      <alignment horizontal="right"/>
    </xf>
    <xf numFmtId="0" fontId="0" fillId="20" borderId="48" xfId="0" applyFill="1" applyBorder="1" applyAlignment="1">
      <alignment horizontal="right"/>
    </xf>
    <xf numFmtId="0" fontId="4" fillId="20" borderId="23" xfId="0" applyFont="1" applyFill="1" applyBorder="1" applyAlignment="1">
      <alignment horizontal="right"/>
    </xf>
    <xf numFmtId="3" fontId="0" fillId="0" borderId="19" xfId="0" applyNumberFormat="1" applyBorder="1" applyAlignment="1">
      <alignment horizontal="right"/>
    </xf>
    <xf numFmtId="0" fontId="0" fillId="0" borderId="31" xfId="0" applyBorder="1" applyAlignment="1">
      <alignment horizontal="right"/>
    </xf>
    <xf numFmtId="0" fontId="16" fillId="0" borderId="0" xfId="0" applyFont="1" applyAlignment="1">
      <alignment horizontal="right"/>
    </xf>
    <xf numFmtId="0" fontId="23" fillId="0" borderId="0" xfId="0" applyFont="1" applyAlignment="1">
      <alignment horizontal="right"/>
    </xf>
    <xf numFmtId="3" fontId="0" fillId="0" borderId="31" xfId="0" applyNumberFormat="1" applyBorder="1" applyAlignment="1">
      <alignment horizontal="right"/>
    </xf>
    <xf numFmtId="3" fontId="0" fillId="0" borderId="48" xfId="0" applyNumberFormat="1" applyBorder="1" applyAlignment="1">
      <alignment horizontal="right"/>
    </xf>
    <xf numFmtId="0" fontId="0" fillId="0" borderId="48" xfId="0" applyBorder="1" applyAlignment="1">
      <alignment horizontal="right"/>
    </xf>
    <xf numFmtId="165" fontId="0" fillId="0" borderId="31" xfId="7" applyNumberFormat="1" applyFont="1" applyBorder="1" applyAlignment="1">
      <alignment horizontal="right"/>
    </xf>
    <xf numFmtId="0" fontId="4" fillId="0" borderId="20" xfId="0" applyFont="1" applyBorder="1" applyAlignment="1">
      <alignment horizontal="right"/>
    </xf>
    <xf numFmtId="165" fontId="0" fillId="0" borderId="19" xfId="7" applyNumberFormat="1" applyFont="1" applyBorder="1" applyAlignment="1">
      <alignment horizontal="right"/>
    </xf>
    <xf numFmtId="165" fontId="0" fillId="0" borderId="19" xfId="0" applyNumberFormat="1" applyBorder="1" applyAlignment="1">
      <alignment horizontal="right"/>
    </xf>
    <xf numFmtId="165" fontId="0" fillId="0" borderId="22" xfId="7" applyNumberFormat="1" applyFont="1" applyBorder="1" applyAlignment="1">
      <alignment horizontal="right"/>
    </xf>
    <xf numFmtId="0" fontId="4" fillId="0" borderId="23" xfId="0" applyFont="1" applyBorder="1" applyAlignment="1">
      <alignment horizontal="right"/>
    </xf>
    <xf numFmtId="165" fontId="0" fillId="0" borderId="22" xfId="0" applyNumberFormat="1" applyBorder="1" applyAlignment="1">
      <alignment horizontal="right"/>
    </xf>
    <xf numFmtId="3" fontId="0" fillId="20" borderId="48" xfId="0" applyNumberFormat="1" applyFill="1" applyBorder="1" applyAlignment="1">
      <alignment horizontal="right"/>
    </xf>
    <xf numFmtId="165" fontId="4" fillId="20" borderId="20" xfId="7" applyNumberFormat="1" applyFont="1" applyFill="1" applyBorder="1" applyAlignment="1">
      <alignment horizontal="right"/>
    </xf>
    <xf numFmtId="165" fontId="0" fillId="20" borderId="48" xfId="7" applyNumberFormat="1" applyFont="1" applyFill="1" applyBorder="1"/>
    <xf numFmtId="165" fontId="0" fillId="20" borderId="31" xfId="7" applyNumberFormat="1" applyFont="1" applyFill="1" applyBorder="1"/>
    <xf numFmtId="165" fontId="0" fillId="20" borderId="48" xfId="7" applyNumberFormat="1" applyFont="1" applyFill="1" applyBorder="1" applyAlignment="1">
      <alignment horizontal="right"/>
    </xf>
    <xf numFmtId="0" fontId="4" fillId="20" borderId="23" xfId="0" applyFont="1" applyFill="1" applyBorder="1"/>
    <xf numFmtId="0" fontId="4" fillId="20" borderId="20" xfId="0" applyFont="1" applyFill="1" applyBorder="1"/>
    <xf numFmtId="0" fontId="4" fillId="0" borderId="17" xfId="0" applyFont="1" applyBorder="1" applyAlignment="1">
      <alignment horizontal="right"/>
    </xf>
    <xf numFmtId="0" fontId="4" fillId="0" borderId="20" xfId="1" applyNumberFormat="1" applyFont="1" applyBorder="1" applyAlignment="1">
      <alignment horizontal="right"/>
    </xf>
    <xf numFmtId="0" fontId="4" fillId="0" borderId="23" xfId="1" applyNumberFormat="1" applyFont="1" applyBorder="1" applyAlignment="1">
      <alignment horizontal="right"/>
    </xf>
    <xf numFmtId="9" fontId="0" fillId="0" borderId="0" xfId="1" applyFont="1"/>
    <xf numFmtId="165" fontId="16" fillId="0" borderId="0" xfId="7" applyNumberFormat="1" applyFont="1" applyAlignment="1">
      <alignment horizontal="right"/>
    </xf>
    <xf numFmtId="165" fontId="0" fillId="0" borderId="16" xfId="7" applyNumberFormat="1" applyFont="1" applyBorder="1" applyAlignment="1">
      <alignment horizontal="right"/>
    </xf>
    <xf numFmtId="165" fontId="0" fillId="0" borderId="0" xfId="7" applyNumberFormat="1" applyFont="1" applyAlignment="1">
      <alignment vertical="top" wrapText="1"/>
    </xf>
    <xf numFmtId="3" fontId="0" fillId="20" borderId="16" xfId="0" applyNumberFormat="1" applyFill="1" applyBorder="1" applyAlignment="1">
      <alignment horizontal="right"/>
    </xf>
    <xf numFmtId="0" fontId="4" fillId="20" borderId="17" xfId="0" applyFont="1" applyFill="1" applyBorder="1" applyAlignment="1">
      <alignment horizontal="right"/>
    </xf>
    <xf numFmtId="3" fontId="0" fillId="20" borderId="47" xfId="0" applyNumberFormat="1" applyFill="1" applyBorder="1" applyAlignment="1">
      <alignment horizontal="right"/>
    </xf>
    <xf numFmtId="3" fontId="0" fillId="0" borderId="47" xfId="0" applyNumberFormat="1" applyBorder="1" applyAlignment="1">
      <alignment horizontal="right"/>
    </xf>
    <xf numFmtId="3" fontId="0" fillId="0" borderId="16" xfId="0" applyNumberFormat="1" applyBorder="1" applyAlignment="1">
      <alignment horizontal="right"/>
    </xf>
    <xf numFmtId="165" fontId="0" fillId="20" borderId="47" xfId="7" applyNumberFormat="1" applyFont="1" applyFill="1" applyBorder="1" applyAlignment="1">
      <alignment horizontal="right"/>
    </xf>
    <xf numFmtId="3" fontId="0" fillId="20" borderId="22" xfId="0" applyNumberFormat="1" applyFill="1" applyBorder="1" applyAlignment="1">
      <alignment horizontal="right"/>
    </xf>
    <xf numFmtId="3" fontId="0" fillId="0" borderId="22" xfId="0" applyNumberFormat="1" applyBorder="1" applyAlignment="1">
      <alignment horizontal="right"/>
    </xf>
    <xf numFmtId="165" fontId="0" fillId="0" borderId="47" xfId="7" applyNumberFormat="1" applyFont="1" applyBorder="1" applyAlignment="1">
      <alignment horizontal="right"/>
    </xf>
    <xf numFmtId="165" fontId="0" fillId="20" borderId="16" xfId="7" applyNumberFormat="1" applyFont="1" applyFill="1" applyBorder="1" applyAlignment="1">
      <alignment horizontal="right"/>
    </xf>
    <xf numFmtId="165" fontId="4" fillId="20" borderId="17" xfId="7" applyNumberFormat="1" applyFont="1" applyFill="1" applyBorder="1" applyAlignment="1">
      <alignment horizontal="right"/>
    </xf>
    <xf numFmtId="165" fontId="0" fillId="20" borderId="47" xfId="7" applyNumberFormat="1" applyFont="1" applyFill="1" applyBorder="1"/>
    <xf numFmtId="0" fontId="4" fillId="20" borderId="17" xfId="0" applyFont="1" applyFill="1" applyBorder="1"/>
    <xf numFmtId="165" fontId="0" fillId="0" borderId="48" xfId="7" applyNumberFormat="1" applyFont="1" applyBorder="1" applyAlignment="1">
      <alignment horizontal="right"/>
    </xf>
    <xf numFmtId="165" fontId="4" fillId="20" borderId="23" xfId="7" applyNumberFormat="1" applyFont="1" applyFill="1" applyBorder="1" applyAlignment="1">
      <alignment horizontal="right"/>
    </xf>
    <xf numFmtId="0" fontId="0" fillId="20" borderId="47" xfId="0" applyFill="1" applyBorder="1" applyAlignment="1">
      <alignment horizontal="right"/>
    </xf>
    <xf numFmtId="0" fontId="0" fillId="0" borderId="47" xfId="0" applyBorder="1" applyAlignment="1">
      <alignment horizontal="right"/>
    </xf>
    <xf numFmtId="165" fontId="0" fillId="0" borderId="16" xfId="0" applyNumberFormat="1" applyBorder="1" applyAlignment="1">
      <alignment horizontal="right"/>
    </xf>
    <xf numFmtId="0" fontId="0" fillId="20" borderId="13" xfId="0" applyFill="1" applyBorder="1" applyAlignment="1">
      <alignment horizontal="center"/>
    </xf>
    <xf numFmtId="0" fontId="4" fillId="20" borderId="14" xfId="0" applyFont="1" applyFill="1" applyBorder="1" applyAlignment="1">
      <alignment horizontal="center" wrapText="1"/>
    </xf>
    <xf numFmtId="165" fontId="0" fillId="0" borderId="13" xfId="7" applyNumberFormat="1" applyFont="1" applyBorder="1" applyAlignment="1">
      <alignment horizontal="center"/>
    </xf>
    <xf numFmtId="0" fontId="4" fillId="0" borderId="14" xfId="0" applyFont="1" applyBorder="1" applyAlignment="1">
      <alignment horizontal="center" wrapText="1"/>
    </xf>
    <xf numFmtId="0" fontId="0" fillId="20" borderId="12" xfId="0" applyFill="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165" fontId="0" fillId="20" borderId="12" xfId="7" applyNumberFormat="1" applyFont="1" applyFill="1" applyBorder="1" applyAlignment="1">
      <alignment horizontal="center"/>
    </xf>
    <xf numFmtId="10" fontId="0" fillId="0" borderId="0" xfId="1" applyNumberFormat="1" applyFont="1"/>
    <xf numFmtId="10" fontId="0" fillId="0" borderId="0" xfId="1" applyNumberFormat="1" applyFont="1" applyAlignment="1">
      <alignment horizontal="right"/>
    </xf>
    <xf numFmtId="10" fontId="0" fillId="20" borderId="15" xfId="1" applyNumberFormat="1" applyFont="1" applyFill="1" applyBorder="1" applyAlignment="1">
      <alignment horizontal="center"/>
    </xf>
    <xf numFmtId="10" fontId="0" fillId="20" borderId="18" xfId="1" applyNumberFormat="1" applyFont="1" applyFill="1" applyBorder="1" applyAlignment="1">
      <alignment horizontal="right"/>
    </xf>
    <xf numFmtId="10" fontId="0" fillId="20" borderId="21" xfId="1" applyNumberFormat="1" applyFont="1" applyFill="1" applyBorder="1" applyAlignment="1">
      <alignment horizontal="right"/>
    </xf>
    <xf numFmtId="10" fontId="0" fillId="20" borderId="24" xfId="1" applyNumberFormat="1" applyFont="1" applyFill="1" applyBorder="1" applyAlignment="1">
      <alignment horizontal="right"/>
    </xf>
    <xf numFmtId="10" fontId="0" fillId="0" borderId="0" xfId="1" applyNumberFormat="1" applyFont="1" applyAlignment="1">
      <alignment vertical="top" wrapText="1"/>
    </xf>
    <xf numFmtId="10" fontId="16" fillId="0" borderId="0" xfId="1" applyNumberFormat="1" applyFont="1"/>
    <xf numFmtId="10" fontId="0" fillId="0" borderId="15" xfId="1" applyNumberFormat="1" applyFont="1" applyBorder="1" applyAlignment="1">
      <alignment horizontal="center"/>
    </xf>
    <xf numFmtId="10" fontId="0" fillId="0" borderId="18" xfId="1" applyNumberFormat="1" applyFont="1" applyBorder="1" applyAlignment="1">
      <alignment horizontal="right"/>
    </xf>
    <xf numFmtId="10" fontId="0" fillId="0" borderId="21" xfId="1" applyNumberFormat="1" applyFont="1" applyBorder="1" applyAlignment="1">
      <alignment horizontal="right"/>
    </xf>
    <xf numFmtId="10" fontId="0" fillId="0" borderId="24" xfId="1" applyNumberFormat="1" applyFont="1" applyBorder="1" applyAlignment="1">
      <alignment horizontal="right"/>
    </xf>
    <xf numFmtId="10" fontId="16" fillId="0" borderId="0" xfId="1" applyNumberFormat="1" applyFont="1" applyAlignment="1">
      <alignment horizontal="right"/>
    </xf>
    <xf numFmtId="10" fontId="0" fillId="20" borderId="59" xfId="1" applyNumberFormat="1" applyFont="1" applyFill="1" applyBorder="1" applyAlignment="1">
      <alignment horizontal="center"/>
    </xf>
    <xf numFmtId="10" fontId="0" fillId="20" borderId="57" xfId="1" applyNumberFormat="1" applyFont="1" applyFill="1" applyBorder="1" applyAlignment="1">
      <alignment horizontal="right"/>
    </xf>
    <xf numFmtId="10" fontId="0" fillId="20" borderId="30" xfId="1" applyNumberFormat="1" applyFont="1" applyFill="1" applyBorder="1" applyAlignment="1">
      <alignment horizontal="right"/>
    </xf>
    <xf numFmtId="10" fontId="0" fillId="20" borderId="58" xfId="1" applyNumberFormat="1" applyFont="1" applyFill="1" applyBorder="1" applyAlignment="1">
      <alignment horizontal="right"/>
    </xf>
    <xf numFmtId="10" fontId="0" fillId="0" borderId="59" xfId="1" applyNumberFormat="1" applyFont="1" applyBorder="1" applyAlignment="1">
      <alignment horizontal="center"/>
    </xf>
    <xf numFmtId="10" fontId="0" fillId="0" borderId="57" xfId="1" applyNumberFormat="1" applyFont="1" applyBorder="1" applyAlignment="1">
      <alignment horizontal="right"/>
    </xf>
    <xf numFmtId="10" fontId="0" fillId="0" borderId="30" xfId="1" applyNumberFormat="1" applyFont="1" applyBorder="1" applyAlignment="1">
      <alignment horizontal="right"/>
    </xf>
    <xf numFmtId="10" fontId="0" fillId="0" borderId="58" xfId="1" applyNumberFormat="1" applyFont="1" applyBorder="1" applyAlignment="1">
      <alignment horizontal="right"/>
    </xf>
    <xf numFmtId="10" fontId="0" fillId="0" borderId="18" xfId="1" applyNumberFormat="1" applyFont="1" applyBorder="1"/>
    <xf numFmtId="10" fontId="0" fillId="0" borderId="21" xfId="1" applyNumberFormat="1" applyFont="1" applyBorder="1"/>
    <xf numFmtId="10" fontId="0" fillId="0" borderId="24" xfId="1" applyNumberFormat="1" applyFont="1" applyBorder="1"/>
    <xf numFmtId="10" fontId="0" fillId="20" borderId="18" xfId="1" applyNumberFormat="1" applyFont="1" applyFill="1" applyBorder="1"/>
    <xf numFmtId="10" fontId="0" fillId="20" borderId="21" xfId="1" applyNumberFormat="1" applyFont="1" applyFill="1" applyBorder="1"/>
    <xf numFmtId="10" fontId="0" fillId="20" borderId="24" xfId="1" applyNumberFormat="1" applyFont="1" applyFill="1" applyBorder="1"/>
    <xf numFmtId="0" fontId="0" fillId="0" borderId="11" xfId="0" applyBorder="1" applyAlignment="1">
      <alignment horizontal="center" vertical="center"/>
    </xf>
    <xf numFmtId="165" fontId="0" fillId="0" borderId="20" xfId="7" applyNumberFormat="1" applyFont="1" applyBorder="1" applyAlignment="1">
      <alignment horizontal="right"/>
    </xf>
    <xf numFmtId="3" fontId="4" fillId="0" borderId="20" xfId="0" applyNumberFormat="1" applyFont="1" applyBorder="1" applyAlignment="1">
      <alignment horizontal="right"/>
    </xf>
    <xf numFmtId="164" fontId="0" fillId="0" borderId="21" xfId="1" applyNumberFormat="1" applyFont="1" applyBorder="1" applyAlignment="1">
      <alignment horizontal="right"/>
    </xf>
    <xf numFmtId="164" fontId="4" fillId="0" borderId="24" xfId="1" applyNumberFormat="1" applyFont="1" applyBorder="1" applyAlignment="1">
      <alignment horizontal="right"/>
    </xf>
    <xf numFmtId="164" fontId="0" fillId="0" borderId="30" xfId="1" applyNumberFormat="1" applyFont="1" applyBorder="1" applyAlignment="1">
      <alignment horizontal="right"/>
    </xf>
    <xf numFmtId="0" fontId="4" fillId="0" borderId="48" xfId="0" applyFont="1" applyBorder="1" applyAlignment="1">
      <alignment horizontal="right"/>
    </xf>
    <xf numFmtId="0" fontId="4" fillId="0" borderId="22" xfId="0" applyFont="1" applyBorder="1" applyAlignment="1">
      <alignment horizontal="right"/>
    </xf>
    <xf numFmtId="164" fontId="4" fillId="0" borderId="58" xfId="1" applyNumberFormat="1" applyFont="1" applyBorder="1" applyAlignment="1">
      <alignment horizontal="right"/>
    </xf>
    <xf numFmtId="165" fontId="0" fillId="20" borderId="20" xfId="7" applyNumberFormat="1" applyFont="1" applyFill="1" applyBorder="1" applyAlignment="1">
      <alignment horizontal="right"/>
    </xf>
    <xf numFmtId="164" fontId="0" fillId="20" borderId="21" xfId="1" applyNumberFormat="1" applyFont="1" applyFill="1" applyBorder="1" applyAlignment="1">
      <alignment horizontal="right"/>
    </xf>
    <xf numFmtId="3" fontId="4" fillId="20" borderId="20" xfId="0" applyNumberFormat="1" applyFont="1" applyFill="1" applyBorder="1" applyAlignment="1">
      <alignment horizontal="right"/>
    </xf>
    <xf numFmtId="0" fontId="4" fillId="20" borderId="22" xfId="0" applyFont="1" applyFill="1" applyBorder="1" applyAlignment="1">
      <alignment horizontal="right"/>
    </xf>
    <xf numFmtId="164" fontId="4" fillId="20" borderId="24" xfId="1" applyNumberFormat="1" applyFont="1" applyFill="1" applyBorder="1" applyAlignment="1">
      <alignment horizontal="right"/>
    </xf>
    <xf numFmtId="165" fontId="0" fillId="20" borderId="17" xfId="7" applyNumberFormat="1" applyFont="1" applyFill="1" applyBorder="1" applyAlignment="1">
      <alignment horizontal="right"/>
    </xf>
    <xf numFmtId="164" fontId="0" fillId="20" borderId="18" xfId="1" applyNumberFormat="1" applyFont="1" applyFill="1" applyBorder="1" applyAlignment="1">
      <alignment horizontal="right"/>
    </xf>
    <xf numFmtId="165" fontId="0" fillId="0" borderId="17" xfId="7" applyNumberFormat="1" applyFont="1" applyBorder="1" applyAlignment="1">
      <alignment horizontal="right"/>
    </xf>
    <xf numFmtId="164" fontId="0" fillId="0" borderId="57" xfId="1" applyNumberFormat="1" applyFont="1" applyBorder="1" applyAlignment="1">
      <alignment horizontal="right"/>
    </xf>
    <xf numFmtId="164" fontId="0" fillId="0" borderId="18" xfId="1" applyNumberFormat="1" applyFont="1" applyBorder="1" applyAlignment="1">
      <alignment horizontal="right"/>
    </xf>
    <xf numFmtId="3" fontId="4" fillId="20" borderId="22" xfId="0" applyNumberFormat="1" applyFont="1" applyFill="1" applyBorder="1" applyAlignment="1">
      <alignment horizontal="right"/>
    </xf>
    <xf numFmtId="3" fontId="4" fillId="20" borderId="23" xfId="0" applyNumberFormat="1" applyFont="1" applyFill="1" applyBorder="1" applyAlignment="1">
      <alignment horizontal="right"/>
    </xf>
    <xf numFmtId="3" fontId="4" fillId="0" borderId="23" xfId="0" applyNumberFormat="1" applyFont="1" applyBorder="1" applyAlignment="1">
      <alignment horizontal="right"/>
    </xf>
    <xf numFmtId="0" fontId="0" fillId="20" borderId="16" xfId="0" applyFill="1" applyBorder="1" applyAlignment="1">
      <alignment horizontal="center" vertical="center" wrapText="1"/>
    </xf>
    <xf numFmtId="0" fontId="0" fillId="20" borderId="17" xfId="0" applyFill="1" applyBorder="1" applyAlignment="1">
      <alignment horizontal="center" vertical="center" wrapText="1"/>
    </xf>
    <xf numFmtId="0" fontId="0" fillId="20" borderId="18" xfId="0" applyFill="1" applyBorder="1" applyAlignment="1">
      <alignment horizontal="center" vertical="center" wrapText="1"/>
    </xf>
    <xf numFmtId="0" fontId="0" fillId="0" borderId="47" xfId="0" applyBorder="1" applyAlignment="1">
      <alignment horizontal="center" vertical="center" wrapText="1"/>
    </xf>
    <xf numFmtId="0" fontId="0" fillId="0" borderId="57" xfId="0" applyBorder="1" applyAlignment="1">
      <alignment horizontal="center" vertical="center" wrapText="1"/>
    </xf>
    <xf numFmtId="0" fontId="0" fillId="0" borderId="18" xfId="0" applyBorder="1" applyAlignment="1">
      <alignment horizontal="center" vertical="center" wrapText="1"/>
    </xf>
    <xf numFmtId="3" fontId="4" fillId="0" borderId="48" xfId="0" applyNumberFormat="1" applyFont="1" applyBorder="1" applyAlignment="1">
      <alignment horizontal="right"/>
    </xf>
    <xf numFmtId="3" fontId="4" fillId="0" borderId="22" xfId="0" applyNumberFormat="1" applyFont="1" applyBorder="1" applyAlignment="1">
      <alignment horizontal="right"/>
    </xf>
    <xf numFmtId="165" fontId="4" fillId="0" borderId="20" xfId="0" applyNumberFormat="1" applyFont="1" applyBorder="1" applyAlignment="1">
      <alignment horizontal="right"/>
    </xf>
    <xf numFmtId="164" fontId="8" fillId="0" borderId="21" xfId="1" applyNumberFormat="1" applyBorder="1" applyAlignment="1">
      <alignment horizontal="right"/>
    </xf>
    <xf numFmtId="164" fontId="8" fillId="0" borderId="24" xfId="1" applyNumberFormat="1" applyBorder="1" applyAlignment="1">
      <alignment horizontal="right"/>
    </xf>
    <xf numFmtId="3" fontId="4" fillId="0" borderId="17" xfId="0" applyNumberFormat="1" applyFont="1" applyBorder="1" applyAlignment="1">
      <alignment horizontal="right"/>
    </xf>
    <xf numFmtId="164" fontId="8" fillId="0" borderId="18" xfId="1" applyNumberFormat="1" applyBorder="1" applyAlignment="1">
      <alignment horizontal="right"/>
    </xf>
    <xf numFmtId="3" fontId="4" fillId="20" borderId="17" xfId="0" applyNumberFormat="1" applyFont="1" applyFill="1" applyBorder="1" applyAlignment="1">
      <alignment horizontal="right"/>
    </xf>
    <xf numFmtId="165" fontId="4" fillId="20" borderId="20" xfId="0" applyNumberFormat="1" applyFont="1" applyFill="1" applyBorder="1" applyAlignment="1">
      <alignment horizontal="right"/>
    </xf>
    <xf numFmtId="164" fontId="8" fillId="20" borderId="21" xfId="1" applyNumberFormat="1" applyFill="1" applyBorder="1" applyAlignment="1">
      <alignment horizontal="right"/>
    </xf>
    <xf numFmtId="164" fontId="8" fillId="20" borderId="24" xfId="1" applyNumberFormat="1" applyFill="1" applyBorder="1" applyAlignment="1">
      <alignment horizontal="right"/>
    </xf>
    <xf numFmtId="164" fontId="8" fillId="20" borderId="18" xfId="1" applyNumberFormat="1" applyFill="1" applyBorder="1" applyAlignment="1">
      <alignment horizontal="right"/>
    </xf>
    <xf numFmtId="9" fontId="8" fillId="20" borderId="18" xfId="1" applyFill="1" applyBorder="1" applyAlignment="1">
      <alignment horizontal="right"/>
    </xf>
    <xf numFmtId="0" fontId="0" fillId="0" borderId="5" xfId="0" applyBorder="1" applyAlignment="1">
      <alignment horizontal="right"/>
    </xf>
    <xf numFmtId="9" fontId="8" fillId="0" borderId="18" xfId="1" applyBorder="1" applyAlignment="1">
      <alignment horizontal="right"/>
    </xf>
    <xf numFmtId="0" fontId="0" fillId="20" borderId="13" xfId="0" applyFill="1" applyBorder="1" applyAlignment="1">
      <alignment horizontal="center" wrapText="1"/>
    </xf>
    <xf numFmtId="0" fontId="0" fillId="20" borderId="15" xfId="0" applyFill="1" applyBorder="1" applyAlignment="1">
      <alignment horizontal="center" wrapText="1"/>
    </xf>
    <xf numFmtId="0" fontId="0" fillId="0" borderId="13" xfId="0" applyBorder="1" applyAlignment="1">
      <alignment horizontal="center" wrapText="1"/>
    </xf>
    <xf numFmtId="0" fontId="0" fillId="0" borderId="15" xfId="0" applyBorder="1" applyAlignment="1">
      <alignment horizontal="center" wrapText="1"/>
    </xf>
    <xf numFmtId="0" fontId="16" fillId="20" borderId="22" xfId="0" applyFont="1" applyFill="1" applyBorder="1" applyAlignment="1">
      <alignment horizontal="center" vertical="center" wrapText="1"/>
    </xf>
    <xf numFmtId="0" fontId="42" fillId="20" borderId="64" xfId="0" applyFont="1" applyFill="1" applyBorder="1" applyAlignment="1">
      <alignment horizontal="center" vertical="center" wrapText="1"/>
    </xf>
    <xf numFmtId="0" fontId="16" fillId="20" borderId="24" xfId="0" applyFont="1" applyFill="1" applyBorder="1" applyAlignment="1">
      <alignment horizontal="center" vertical="center" wrapText="1"/>
    </xf>
    <xf numFmtId="0" fontId="16" fillId="0" borderId="22" xfId="0" applyFont="1" applyBorder="1" applyAlignment="1">
      <alignment horizontal="center" vertical="center" wrapText="1"/>
    </xf>
    <xf numFmtId="0" fontId="42" fillId="0" borderId="64" xfId="0" applyFont="1" applyBorder="1" applyAlignment="1">
      <alignment horizontal="center" vertical="center" wrapText="1"/>
    </xf>
    <xf numFmtId="0" fontId="16" fillId="0" borderId="24" xfId="0" applyFont="1" applyBorder="1" applyAlignment="1">
      <alignment horizontal="center" vertical="center" wrapText="1"/>
    </xf>
    <xf numFmtId="0" fontId="0" fillId="0" borderId="56" xfId="0" applyBorder="1"/>
    <xf numFmtId="44" fontId="0" fillId="20" borderId="62" xfId="16" applyFont="1" applyFill="1" applyBorder="1"/>
    <xf numFmtId="165" fontId="0" fillId="0" borderId="16" xfId="7" applyNumberFormat="1" applyFont="1" applyBorder="1"/>
    <xf numFmtId="166" fontId="0" fillId="0" borderId="62" xfId="16" applyNumberFormat="1" applyFont="1" applyBorder="1"/>
    <xf numFmtId="166" fontId="0" fillId="0" borderId="18" xfId="16" applyNumberFormat="1" applyFont="1" applyBorder="1"/>
    <xf numFmtId="165" fontId="0" fillId="20" borderId="16" xfId="7" applyNumberFormat="1" applyFont="1" applyFill="1" applyBorder="1"/>
    <xf numFmtId="166" fontId="0" fillId="20" borderId="62" xfId="16" applyNumberFormat="1" applyFont="1" applyFill="1" applyBorder="1"/>
    <xf numFmtId="166" fontId="0" fillId="20" borderId="18" xfId="16" applyNumberFormat="1" applyFont="1" applyFill="1" applyBorder="1"/>
    <xf numFmtId="0" fontId="0" fillId="0" borderId="65" xfId="0" applyBorder="1"/>
    <xf numFmtId="44" fontId="0" fillId="20" borderId="32" xfId="16" applyFont="1" applyFill="1" applyBorder="1"/>
    <xf numFmtId="165" fontId="0" fillId="0" borderId="19" xfId="7" applyNumberFormat="1" applyFont="1" applyBorder="1"/>
    <xf numFmtId="166" fontId="0" fillId="0" borderId="32" xfId="16" applyNumberFormat="1" applyFont="1" applyBorder="1"/>
    <xf numFmtId="166" fontId="0" fillId="0" borderId="21" xfId="16" applyNumberFormat="1" applyFont="1" applyBorder="1"/>
    <xf numFmtId="165" fontId="0" fillId="20" borderId="19" xfId="7" applyNumberFormat="1" applyFont="1" applyFill="1" applyBorder="1"/>
    <xf numFmtId="166" fontId="0" fillId="20" borderId="32" xfId="16" applyNumberFormat="1" applyFont="1" applyFill="1" applyBorder="1"/>
    <xf numFmtId="166" fontId="0" fillId="20" borderId="21" xfId="16" applyNumberFormat="1" applyFont="1" applyFill="1" applyBorder="1"/>
    <xf numFmtId="0" fontId="0" fillId="20" borderId="19" xfId="7" applyNumberFormat="1" applyFont="1" applyFill="1" applyBorder="1"/>
    <xf numFmtId="0" fontId="0" fillId="0" borderId="63" xfId="0" applyBorder="1"/>
    <xf numFmtId="44" fontId="0" fillId="20" borderId="64" xfId="16" applyFont="1" applyFill="1" applyBorder="1"/>
    <xf numFmtId="165" fontId="0" fillId="0" borderId="22" xfId="7" applyNumberFormat="1" applyFont="1" applyBorder="1"/>
    <xf numFmtId="166" fontId="0" fillId="0" borderId="64" xfId="16" applyNumberFormat="1" applyFont="1" applyBorder="1"/>
    <xf numFmtId="166" fontId="0" fillId="0" borderId="24" xfId="16" applyNumberFormat="1" applyFont="1" applyBorder="1"/>
    <xf numFmtId="165" fontId="0" fillId="20" borderId="22" xfId="7" applyNumberFormat="1" applyFont="1" applyFill="1" applyBorder="1"/>
    <xf numFmtId="166" fontId="0" fillId="20" borderId="64" xfId="16" applyNumberFormat="1" applyFont="1" applyFill="1" applyBorder="1"/>
    <xf numFmtId="166" fontId="0" fillId="20" borderId="24" xfId="16" applyNumberFormat="1" applyFont="1" applyFill="1" applyBorder="1"/>
    <xf numFmtId="44" fontId="0" fillId="0" borderId="0" xfId="16" applyFont="1"/>
    <xf numFmtId="165" fontId="16" fillId="20" borderId="22" xfId="7" applyNumberFormat="1" applyFont="1" applyFill="1" applyBorder="1" applyAlignment="1">
      <alignment horizontal="center" vertical="center" wrapText="1"/>
    </xf>
    <xf numFmtId="165" fontId="0" fillId="0" borderId="66" xfId="7" applyNumberFormat="1" applyFont="1" applyBorder="1"/>
    <xf numFmtId="0" fontId="42" fillId="0" borderId="0" xfId="0" applyFont="1" applyAlignment="1">
      <alignment horizontal="center" vertical="center" wrapText="1"/>
    </xf>
    <xf numFmtId="0" fontId="16" fillId="0" borderId="0" xfId="0" applyFont="1" applyAlignment="1">
      <alignment horizontal="center" vertical="center" wrapText="1"/>
    </xf>
    <xf numFmtId="166" fontId="0" fillId="0" borderId="0" xfId="16" applyNumberFormat="1" applyFont="1"/>
    <xf numFmtId="0" fontId="0" fillId="0" borderId="0" xfId="7" applyNumberFormat="1" applyFont="1"/>
    <xf numFmtId="0" fontId="16" fillId="0" borderId="0" xfId="0" applyFont="1" applyAlignment="1">
      <alignment vertical="center"/>
    </xf>
    <xf numFmtId="0" fontId="0" fillId="21" borderId="9" xfId="0" applyFill="1" applyBorder="1" applyAlignment="1">
      <alignment horizontal="right" vertical="center"/>
    </xf>
    <xf numFmtId="165" fontId="0" fillId="21" borderId="54" xfId="7" applyNumberFormat="1" applyFont="1" applyFill="1" applyBorder="1" applyAlignment="1">
      <alignment horizontal="center" wrapText="1"/>
    </xf>
    <xf numFmtId="0" fontId="0" fillId="21" borderId="55" xfId="0" applyFill="1" applyBorder="1" applyAlignment="1">
      <alignment horizontal="center" wrapText="1"/>
    </xf>
    <xf numFmtId="0" fontId="0" fillId="21" borderId="53" xfId="0" applyFill="1" applyBorder="1" applyAlignment="1">
      <alignment horizontal="right" vertical="center"/>
    </xf>
    <xf numFmtId="44" fontId="0" fillId="10" borderId="4" xfId="16" applyFont="1" applyFill="1" applyBorder="1"/>
    <xf numFmtId="10" fontId="0" fillId="10" borderId="4" xfId="1" applyNumberFormat="1" applyFont="1" applyFill="1" applyBorder="1"/>
    <xf numFmtId="165" fontId="0" fillId="10" borderId="4" xfId="7" applyNumberFormat="1" applyFont="1" applyFill="1" applyBorder="1"/>
    <xf numFmtId="0" fontId="0" fillId="22" borderId="0" xfId="0" applyFill="1"/>
    <xf numFmtId="14" fontId="13" fillId="20" borderId="0" xfId="0" applyNumberFormat="1" applyFont="1" applyFill="1" applyAlignment="1">
      <alignment horizontal="center"/>
    </xf>
    <xf numFmtId="0" fontId="0" fillId="20" borderId="0" xfId="0" applyFill="1"/>
    <xf numFmtId="0" fontId="0" fillId="20" borderId="0" xfId="0" quotePrefix="1" applyFill="1" applyAlignment="1">
      <alignment horizontal="center" wrapText="1"/>
    </xf>
    <xf numFmtId="0" fontId="0" fillId="20" borderId="0" xfId="0" applyFill="1" applyAlignment="1">
      <alignment horizontal="left"/>
    </xf>
    <xf numFmtId="0" fontId="44" fillId="23" borderId="0" xfId="0" applyFont="1" applyFill="1"/>
    <xf numFmtId="165" fontId="0" fillId="10" borderId="20" xfId="7" applyNumberFormat="1" applyFont="1" applyFill="1" applyBorder="1"/>
    <xf numFmtId="165" fontId="4" fillId="10" borderId="20" xfId="7" applyNumberFormat="1" applyFont="1" applyFill="1" applyBorder="1"/>
    <xf numFmtId="166" fontId="0" fillId="10" borderId="20" xfId="16" applyNumberFormat="1" applyFont="1" applyFill="1" applyBorder="1"/>
    <xf numFmtId="9" fontId="0" fillId="10" borderId="20" xfId="1" applyFont="1" applyFill="1" applyBorder="1"/>
    <xf numFmtId="9" fontId="0" fillId="10" borderId="20" xfId="1" applyFont="1" applyFill="1" applyBorder="1" applyAlignment="1">
      <alignment horizontal="center"/>
    </xf>
    <xf numFmtId="0" fontId="1" fillId="0" borderId="8" xfId="0" applyFont="1" applyBorder="1" applyAlignment="1">
      <alignment horizontal="center"/>
    </xf>
    <xf numFmtId="165" fontId="4" fillId="10" borderId="4" xfId="7" applyNumberFormat="1" applyFont="1" applyFill="1" applyBorder="1"/>
    <xf numFmtId="164" fontId="0" fillId="0" borderId="20" xfId="1" applyNumberFormat="1" applyFont="1" applyBorder="1"/>
    <xf numFmtId="164" fontId="0" fillId="10" borderId="20" xfId="1" applyNumberFormat="1" applyFont="1" applyFill="1" applyBorder="1"/>
    <xf numFmtId="164" fontId="0" fillId="10" borderId="20" xfId="1" applyNumberFormat="1" applyFont="1" applyFill="1" applyBorder="1" applyAlignment="1">
      <alignment horizontal="center"/>
    </xf>
    <xf numFmtId="0" fontId="45" fillId="0" borderId="0" xfId="0" applyFont="1"/>
    <xf numFmtId="164" fontId="0" fillId="0" borderId="4" xfId="1" applyNumberFormat="1" applyFont="1" applyBorder="1"/>
    <xf numFmtId="164" fontId="0" fillId="0" borderId="0" xfId="1" applyNumberFormat="1" applyFont="1" applyAlignment="1">
      <alignment horizontal="center"/>
    </xf>
    <xf numFmtId="0" fontId="1" fillId="0" borderId="9" xfId="0" applyFont="1" applyBorder="1"/>
    <xf numFmtId="0" fontId="1" fillId="0" borderId="20" xfId="0" applyFont="1" applyBorder="1" applyAlignment="1">
      <alignment horizontal="center"/>
    </xf>
    <xf numFmtId="0" fontId="0" fillId="0" borderId="8" xfId="0" applyBorder="1"/>
    <xf numFmtId="0" fontId="0" fillId="0" borderId="31" xfId="0" applyBorder="1"/>
    <xf numFmtId="0" fontId="0" fillId="17" borderId="20" xfId="0" applyFill="1" applyBorder="1"/>
    <xf numFmtId="0" fontId="0" fillId="8" borderId="20" xfId="0" applyFill="1" applyBorder="1"/>
    <xf numFmtId="9" fontId="0" fillId="8" borderId="20" xfId="0" applyNumberFormat="1" applyFill="1" applyBorder="1"/>
    <xf numFmtId="0" fontId="0" fillId="8" borderId="4" xfId="0" applyFill="1" applyBorder="1"/>
    <xf numFmtId="3" fontId="0" fillId="10" borderId="20" xfId="0" applyNumberFormat="1" applyFill="1" applyBorder="1"/>
    <xf numFmtId="3" fontId="0" fillId="10" borderId="20" xfId="0" applyNumberFormat="1" applyFill="1" applyBorder="1" applyAlignment="1">
      <alignment horizontal="center"/>
    </xf>
    <xf numFmtId="0" fontId="47" fillId="0" borderId="20" xfId="0" applyFont="1" applyBorder="1" applyAlignment="1">
      <alignment horizontal="center" vertical="top" wrapText="1"/>
    </xf>
    <xf numFmtId="0" fontId="0" fillId="0" borderId="4" xfId="0" applyBorder="1"/>
    <xf numFmtId="3" fontId="46" fillId="24" borderId="69" xfId="7" applyNumberFormat="1" applyFont="1" applyFill="1" applyBorder="1" applyAlignment="1">
      <alignment horizontal="left" vertical="top" wrapText="1"/>
    </xf>
    <xf numFmtId="0" fontId="0" fillId="0" borderId="53" xfId="0" applyBorder="1" applyAlignment="1">
      <alignment horizontal="center"/>
    </xf>
    <xf numFmtId="0" fontId="0" fillId="0" borderId="54" xfId="0" applyBorder="1" applyAlignment="1">
      <alignment horizontal="center"/>
    </xf>
    <xf numFmtId="0" fontId="0" fillId="0" borderId="55" xfId="0" applyBorder="1" applyAlignment="1">
      <alignment horizontal="left"/>
    </xf>
    <xf numFmtId="10" fontId="0" fillId="0" borderId="0" xfId="0" applyNumberFormat="1" applyAlignment="1">
      <alignment wrapText="1"/>
    </xf>
    <xf numFmtId="9" fontId="0" fillId="0" borderId="0" xfId="0" applyNumberFormat="1" applyAlignment="1">
      <alignment wrapText="1"/>
    </xf>
    <xf numFmtId="2" fontId="0" fillId="0" borderId="0" xfId="0" applyNumberFormat="1"/>
    <xf numFmtId="10" fontId="0" fillId="0" borderId="0" xfId="0" applyNumberFormat="1"/>
    <xf numFmtId="0" fontId="46" fillId="24" borderId="68" xfId="0" applyFont="1" applyFill="1" applyBorder="1" applyAlignment="1">
      <alignment horizontal="left" vertical="top" wrapText="1"/>
    </xf>
    <xf numFmtId="3" fontId="46" fillId="24" borderId="67" xfId="7" applyNumberFormat="1" applyFont="1" applyFill="1" applyBorder="1" applyAlignment="1">
      <alignment horizontal="left" vertical="top" wrapText="1"/>
    </xf>
    <xf numFmtId="0" fontId="46" fillId="24" borderId="67" xfId="0" applyFont="1" applyFill="1" applyBorder="1" applyAlignment="1">
      <alignment horizontal="left" vertical="top" wrapText="1"/>
    </xf>
    <xf numFmtId="0" fontId="0" fillId="22" borderId="4" xfId="0" applyFill="1" applyBorder="1"/>
    <xf numFmtId="1" fontId="0" fillId="0" borderId="20" xfId="0" applyNumberFormat="1" applyBorder="1"/>
    <xf numFmtId="1" fontId="46" fillId="24" borderId="67" xfId="0" applyNumberFormat="1" applyFont="1" applyFill="1" applyBorder="1" applyAlignment="1">
      <alignment horizontal="left" vertical="top" wrapText="1"/>
    </xf>
    <xf numFmtId="0" fontId="0" fillId="22" borderId="20" xfId="0" applyFill="1" applyBorder="1"/>
    <xf numFmtId="0" fontId="0" fillId="0" borderId="60" xfId="0" applyBorder="1"/>
    <xf numFmtId="0" fontId="0" fillId="0" borderId="55" xfId="0" applyBorder="1"/>
    <xf numFmtId="3" fontId="46" fillId="24" borderId="67" xfId="0" applyNumberFormat="1" applyFont="1" applyFill="1" applyBorder="1" applyAlignment="1">
      <alignment horizontal="left" vertical="top" wrapText="1"/>
    </xf>
    <xf numFmtId="0" fontId="0" fillId="0" borderId="30" xfId="0" applyBorder="1"/>
    <xf numFmtId="0" fontId="0" fillId="0" borderId="7" xfId="0" applyBorder="1"/>
    <xf numFmtId="0" fontId="0" fillId="10" borderId="20" xfId="0" applyFill="1" applyBorder="1" applyAlignment="1">
      <alignment horizontal="center"/>
    </xf>
    <xf numFmtId="0" fontId="0" fillId="10" borderId="20" xfId="0" applyFill="1" applyBorder="1"/>
    <xf numFmtId="1" fontId="46" fillId="24" borderId="68" xfId="0" applyNumberFormat="1" applyFont="1" applyFill="1" applyBorder="1" applyAlignment="1">
      <alignment horizontal="left" vertical="top" wrapText="1"/>
    </xf>
    <xf numFmtId="165" fontId="0" fillId="0" borderId="4" xfId="7" applyNumberFormat="1" applyFont="1" applyBorder="1" applyAlignment="1">
      <alignment horizontal="center"/>
    </xf>
    <xf numFmtId="165" fontId="0" fillId="0" borderId="20" xfId="7" applyNumberFormat="1" applyFont="1" applyBorder="1" applyAlignment="1">
      <alignment horizontal="center"/>
    </xf>
    <xf numFmtId="165" fontId="0" fillId="0" borderId="4" xfId="7" applyNumberFormat="1" applyFont="1" applyBorder="1" applyAlignment="1">
      <alignment horizontal="right"/>
    </xf>
    <xf numFmtId="1" fontId="0" fillId="10" borderId="20" xfId="0" applyNumberFormat="1" applyFill="1" applyBorder="1"/>
    <xf numFmtId="1" fontId="0" fillId="10" borderId="20" xfId="0" applyNumberFormat="1" applyFill="1" applyBorder="1" applyAlignment="1">
      <alignment horizontal="center"/>
    </xf>
    <xf numFmtId="9" fontId="0" fillId="0" borderId="20" xfId="0" applyNumberFormat="1" applyBorder="1"/>
    <xf numFmtId="1" fontId="0" fillId="0" borderId="0" xfId="7" applyNumberFormat="1" applyFont="1"/>
    <xf numFmtId="0" fontId="0" fillId="0" borderId="0" xfId="0" applyAlignment="1">
      <alignment horizontal="left" vertical="top" wrapText="1" indent="2"/>
    </xf>
    <xf numFmtId="0" fontId="2" fillId="7" borderId="8" xfId="0" applyFont="1" applyFill="1" applyBorder="1" applyAlignment="1">
      <alignment horizontal="center"/>
    </xf>
    <xf numFmtId="0" fontId="2" fillId="25" borderId="8" xfId="0" applyFont="1" applyFill="1" applyBorder="1" applyAlignment="1">
      <alignment horizontal="center"/>
    </xf>
    <xf numFmtId="0" fontId="2" fillId="0" borderId="0" xfId="0" applyFont="1" applyAlignment="1">
      <alignment horizontal="center"/>
    </xf>
    <xf numFmtId="9" fontId="0" fillId="0" borderId="20" xfId="1" applyFont="1" applyBorder="1" applyAlignment="1">
      <alignment horizontal="right"/>
    </xf>
    <xf numFmtId="164" fontId="8" fillId="0" borderId="20" xfId="1" applyNumberFormat="1" applyBorder="1" applyAlignment="1">
      <alignment horizontal="right"/>
    </xf>
    <xf numFmtId="0" fontId="25" fillId="0" borderId="20" xfId="0" applyFont="1" applyBorder="1"/>
    <xf numFmtId="0" fontId="26" fillId="0" borderId="20" xfId="0" applyFont="1" applyBorder="1" applyAlignment="1">
      <alignment horizontal="left" indent="2"/>
    </xf>
    <xf numFmtId="2" fontId="0" fillId="0" borderId="0" xfId="0" applyNumberFormat="1" applyAlignment="1">
      <alignment horizontal="center"/>
    </xf>
    <xf numFmtId="2" fontId="8" fillId="0" borderId="0" xfId="7" applyNumberFormat="1" applyAlignment="1">
      <alignment horizontal="right"/>
    </xf>
    <xf numFmtId="2" fontId="4" fillId="0" borderId="0" xfId="0" applyNumberFormat="1" applyFont="1" applyAlignment="1">
      <alignment horizontal="center"/>
    </xf>
    <xf numFmtId="2" fontId="4" fillId="0" borderId="0" xfId="7" applyNumberFormat="1" applyFont="1" applyAlignment="1">
      <alignment horizontal="right"/>
    </xf>
    <xf numFmtId="2" fontId="4" fillId="0" borderId="0" xfId="0" applyNumberFormat="1" applyFont="1"/>
    <xf numFmtId="0" fontId="48" fillId="0" borderId="0" xfId="0" applyFont="1"/>
    <xf numFmtId="0" fontId="0" fillId="0" borderId="20" xfId="0" quotePrefix="1" applyBorder="1"/>
    <xf numFmtId="44" fontId="0" fillId="0" borderId="20" xfId="16" quotePrefix="1" applyFont="1" applyBorder="1"/>
    <xf numFmtId="0" fontId="0" fillId="10" borderId="20" xfId="0" quotePrefix="1" applyFill="1" applyBorder="1"/>
    <xf numFmtId="44" fontId="0" fillId="10" borderId="20" xfId="16" quotePrefix="1" applyFont="1" applyFill="1" applyBorder="1"/>
    <xf numFmtId="166" fontId="0" fillId="10" borderId="20" xfId="16" quotePrefix="1" applyNumberFormat="1" applyFont="1" applyFill="1" applyBorder="1"/>
    <xf numFmtId="166" fontId="0" fillId="0" borderId="20" xfId="16" quotePrefix="1" applyNumberFormat="1" applyFont="1" applyBorder="1"/>
    <xf numFmtId="166" fontId="0" fillId="8" borderId="20" xfId="16" quotePrefix="1" applyNumberFormat="1" applyFont="1" applyFill="1" applyBorder="1"/>
    <xf numFmtId="44" fontId="0" fillId="8" borderId="20" xfId="16" quotePrefix="1" applyFont="1" applyFill="1" applyBorder="1"/>
    <xf numFmtId="0" fontId="16" fillId="0" borderId="0" xfId="0" applyFont="1" applyAlignment="1">
      <alignment horizontal="center" vertical="center"/>
    </xf>
    <xf numFmtId="44" fontId="0" fillId="0" borderId="20" xfId="16" applyFont="1" applyBorder="1"/>
    <xf numFmtId="166" fontId="0" fillId="0" borderId="20" xfId="16" applyNumberFormat="1" applyFont="1" applyBorder="1"/>
    <xf numFmtId="44" fontId="0" fillId="10" borderId="20" xfId="16" applyFont="1" applyFill="1" applyBorder="1"/>
    <xf numFmtId="166" fontId="0" fillId="11" borderId="20" xfId="16" applyNumberFormat="1" applyFont="1" applyFill="1" applyBorder="1"/>
    <xf numFmtId="0" fontId="21" fillId="4" borderId="20" xfId="0" applyFont="1" applyFill="1" applyBorder="1" applyAlignment="1">
      <alignment horizontal="center" vertical="center" wrapText="1"/>
    </xf>
    <xf numFmtId="0" fontId="21" fillId="10" borderId="20" xfId="0" applyFont="1" applyFill="1" applyBorder="1" applyAlignment="1">
      <alignment horizontal="center" vertical="center" wrapText="1"/>
    </xf>
    <xf numFmtId="0" fontId="16" fillId="0" borderId="42" xfId="0" applyFont="1" applyBorder="1" applyAlignment="1">
      <alignment horizontal="center"/>
    </xf>
    <xf numFmtId="0" fontId="0" fillId="17" borderId="13" xfId="0" applyFill="1" applyBorder="1"/>
    <xf numFmtId="0" fontId="0" fillId="17" borderId="14" xfId="0" applyFill="1" applyBorder="1"/>
    <xf numFmtId="0" fontId="32" fillId="17" borderId="14" xfId="0" applyFont="1" applyFill="1" applyBorder="1" applyAlignment="1">
      <alignment horizontal="center"/>
    </xf>
    <xf numFmtId="0" fontId="0" fillId="17" borderId="14" xfId="0" applyFill="1" applyBorder="1" applyAlignment="1">
      <alignment wrapText="1"/>
    </xf>
    <xf numFmtId="0" fontId="32" fillId="17" borderId="15" xfId="0" applyFont="1" applyFill="1" applyBorder="1" applyAlignment="1">
      <alignment horizontal="center"/>
    </xf>
    <xf numFmtId="0" fontId="37" fillId="0" borderId="42" xfId="0" applyFont="1" applyBorder="1" applyAlignment="1">
      <alignment horizontal="center"/>
    </xf>
    <xf numFmtId="0" fontId="49" fillId="26" borderId="13" xfId="0" applyFont="1" applyFill="1" applyBorder="1"/>
    <xf numFmtId="0" fontId="49" fillId="26" borderId="12" xfId="0" applyFont="1" applyFill="1" applyBorder="1"/>
    <xf numFmtId="0" fontId="32" fillId="26" borderId="12" xfId="0" applyFont="1" applyFill="1" applyBorder="1" applyAlignment="1">
      <alignment horizontal="center"/>
    </xf>
    <xf numFmtId="0" fontId="49" fillId="26" borderId="12" xfId="0" applyFont="1" applyFill="1" applyBorder="1" applyAlignment="1">
      <alignment wrapText="1"/>
    </xf>
    <xf numFmtId="0" fontId="32" fillId="26" borderId="28" xfId="0" applyFont="1" applyFill="1" applyBorder="1" applyAlignment="1">
      <alignment horizontal="center"/>
    </xf>
    <xf numFmtId="0" fontId="16" fillId="0" borderId="34" xfId="0" applyFont="1" applyBorder="1" applyAlignment="1">
      <alignment horizontal="center"/>
    </xf>
    <xf numFmtId="0" fontId="0" fillId="17" borderId="53" xfId="0" applyFill="1" applyBorder="1"/>
    <xf numFmtId="165" fontId="0" fillId="0" borderId="54" xfId="7" applyNumberFormat="1" applyFont="1" applyBorder="1"/>
    <xf numFmtId="165" fontId="4" fillId="0" borderId="54" xfId="7" applyNumberFormat="1" applyFont="1" applyBorder="1"/>
    <xf numFmtId="165" fontId="0" fillId="4" borderId="54" xfId="7" applyNumberFormat="1" applyFont="1" applyFill="1" applyBorder="1"/>
    <xf numFmtId="165" fontId="4" fillId="4" borderId="54" xfId="7" applyNumberFormat="1" applyFont="1" applyFill="1" applyBorder="1"/>
    <xf numFmtId="165" fontId="4" fillId="4" borderId="55" xfId="7" applyNumberFormat="1" applyFont="1" applyFill="1" applyBorder="1"/>
    <xf numFmtId="0" fontId="37" fillId="0" borderId="34" xfId="0" applyFont="1" applyBorder="1" applyAlignment="1">
      <alignment horizontal="center"/>
    </xf>
    <xf numFmtId="0" fontId="49" fillId="26" borderId="53" xfId="0" applyFont="1" applyFill="1" applyBorder="1"/>
    <xf numFmtId="165" fontId="49" fillId="0" borderId="60" xfId="0" applyNumberFormat="1" applyFont="1" applyBorder="1"/>
    <xf numFmtId="165" fontId="38" fillId="0" borderId="60" xfId="0" applyNumberFormat="1" applyFont="1" applyBorder="1"/>
    <xf numFmtId="165" fontId="49" fillId="12" borderId="60" xfId="0" applyNumberFormat="1" applyFont="1" applyFill="1" applyBorder="1"/>
    <xf numFmtId="165" fontId="0" fillId="0" borderId="35" xfId="7" applyNumberFormat="1" applyFont="1" applyBorder="1"/>
    <xf numFmtId="0" fontId="49" fillId="0" borderId="34" xfId="0" applyFont="1" applyBorder="1"/>
    <xf numFmtId="165" fontId="49" fillId="0" borderId="0" xfId="0" applyNumberFormat="1" applyFont="1"/>
    <xf numFmtId="165" fontId="49" fillId="0" borderId="35" xfId="0" applyNumberFormat="1" applyFont="1" applyBorder="1"/>
    <xf numFmtId="0" fontId="0" fillId="17" borderId="42" xfId="0" applyFill="1" applyBorder="1"/>
    <xf numFmtId="0" fontId="0" fillId="17" borderId="16" xfId="0" applyFill="1" applyBorder="1"/>
    <xf numFmtId="165" fontId="0" fillId="0" borderId="17" xfId="7" applyNumberFormat="1" applyFont="1" applyBorder="1"/>
    <xf numFmtId="165" fontId="4" fillId="0" borderId="17" xfId="7" applyNumberFormat="1" applyFont="1" applyBorder="1"/>
    <xf numFmtId="165" fontId="0" fillId="4" borderId="17" xfId="7" applyNumberFormat="1" applyFont="1" applyFill="1" applyBorder="1"/>
    <xf numFmtId="165" fontId="4" fillId="4" borderId="17" xfId="7" applyNumberFormat="1" applyFont="1" applyFill="1" applyBorder="1"/>
    <xf numFmtId="165" fontId="4" fillId="4" borderId="18" xfId="7" applyNumberFormat="1" applyFont="1" applyFill="1" applyBorder="1"/>
    <xf numFmtId="0" fontId="49" fillId="26" borderId="42" xfId="0" applyFont="1" applyFill="1" applyBorder="1"/>
    <xf numFmtId="0" fontId="49" fillId="26" borderId="16" xfId="0" applyFont="1" applyFill="1" applyBorder="1"/>
    <xf numFmtId="165" fontId="49" fillId="0" borderId="47" xfId="0" applyNumberFormat="1" applyFont="1" applyBorder="1"/>
    <xf numFmtId="165" fontId="38" fillId="0" borderId="47" xfId="0" applyNumberFormat="1" applyFont="1" applyBorder="1"/>
    <xf numFmtId="0" fontId="0" fillId="17" borderId="34" xfId="0" applyFill="1" applyBorder="1"/>
    <xf numFmtId="0" fontId="0" fillId="17" borderId="19" xfId="0" applyFill="1" applyBorder="1"/>
    <xf numFmtId="165" fontId="4" fillId="0" borderId="20" xfId="7" applyNumberFormat="1" applyFont="1" applyBorder="1"/>
    <xf numFmtId="165" fontId="0" fillId="4" borderId="20" xfId="7" applyNumberFormat="1" applyFont="1" applyFill="1" applyBorder="1"/>
    <xf numFmtId="165" fontId="4" fillId="4" borderId="20" xfId="7" applyNumberFormat="1" applyFont="1" applyFill="1" applyBorder="1"/>
    <xf numFmtId="165" fontId="4" fillId="4" borderId="21" xfId="7" applyNumberFormat="1" applyFont="1" applyFill="1" applyBorder="1"/>
    <xf numFmtId="0" fontId="49" fillId="26" borderId="34" xfId="0" applyFont="1" applyFill="1" applyBorder="1"/>
    <xf numFmtId="0" fontId="49" fillId="26" borderId="41" xfId="0" applyFont="1" applyFill="1" applyBorder="1"/>
    <xf numFmtId="165" fontId="49" fillId="0" borderId="7" xfId="0" applyNumberFormat="1" applyFont="1" applyBorder="1"/>
    <xf numFmtId="165" fontId="38" fillId="0" borderId="7" xfId="0" applyNumberFormat="1" applyFont="1" applyBorder="1"/>
    <xf numFmtId="165" fontId="49" fillId="12" borderId="7" xfId="0" applyNumberFormat="1" applyFont="1" applyFill="1" applyBorder="1"/>
    <xf numFmtId="165" fontId="38" fillId="12" borderId="7" xfId="0" applyNumberFormat="1" applyFont="1" applyFill="1" applyBorder="1"/>
    <xf numFmtId="165" fontId="38" fillId="12" borderId="70" xfId="0" applyNumberFormat="1" applyFont="1" applyFill="1" applyBorder="1"/>
    <xf numFmtId="0" fontId="0" fillId="17" borderId="36" xfId="0" applyFill="1" applyBorder="1"/>
    <xf numFmtId="0" fontId="0" fillId="17" borderId="22" xfId="0" applyFill="1" applyBorder="1"/>
    <xf numFmtId="165" fontId="0" fillId="0" borderId="23" xfId="7" applyNumberFormat="1" applyFont="1" applyBorder="1"/>
    <xf numFmtId="165" fontId="4" fillId="0" borderId="23" xfId="7" applyNumberFormat="1" applyFont="1" applyBorder="1"/>
    <xf numFmtId="165" fontId="0" fillId="4" borderId="23" xfId="7" applyNumberFormat="1" applyFont="1" applyFill="1" applyBorder="1"/>
    <xf numFmtId="165" fontId="4" fillId="4" borderId="23" xfId="7" applyNumberFormat="1" applyFont="1" applyFill="1" applyBorder="1"/>
    <xf numFmtId="165" fontId="4" fillId="4" borderId="24" xfId="7" applyNumberFormat="1" applyFont="1" applyFill="1" applyBorder="1"/>
    <xf numFmtId="0" fontId="49" fillId="26" borderId="36" xfId="0" applyFont="1" applyFill="1" applyBorder="1"/>
    <xf numFmtId="0" fontId="49" fillId="26" borderId="71" xfId="0" applyFont="1" applyFill="1" applyBorder="1"/>
    <xf numFmtId="165" fontId="49" fillId="0" borderId="72" xfId="0" applyNumberFormat="1" applyFont="1" applyBorder="1"/>
    <xf numFmtId="165" fontId="38" fillId="0" borderId="72" xfId="0" applyNumberFormat="1" applyFont="1" applyBorder="1"/>
    <xf numFmtId="165" fontId="49" fillId="12" borderId="72" xfId="0" applyNumberFormat="1" applyFont="1" applyFill="1" applyBorder="1"/>
    <xf numFmtId="165" fontId="38" fillId="12" borderId="72" xfId="0" applyNumberFormat="1" applyFont="1" applyFill="1" applyBorder="1"/>
    <xf numFmtId="165" fontId="38" fillId="12" borderId="38" xfId="0" applyNumberFormat="1" applyFont="1" applyFill="1" applyBorder="1"/>
    <xf numFmtId="0" fontId="0" fillId="17" borderId="56" xfId="0" applyFill="1" applyBorder="1"/>
    <xf numFmtId="0" fontId="0" fillId="17" borderId="47" xfId="0" applyFill="1" applyBorder="1"/>
    <xf numFmtId="165" fontId="49" fillId="12" borderId="47" xfId="0" applyNumberFormat="1" applyFont="1" applyFill="1" applyBorder="1"/>
    <xf numFmtId="165" fontId="38" fillId="12" borderId="47" xfId="0" applyNumberFormat="1" applyFont="1" applyFill="1" applyBorder="1"/>
    <xf numFmtId="0" fontId="0" fillId="17" borderId="65" xfId="0" applyFill="1" applyBorder="1"/>
    <xf numFmtId="0" fontId="0" fillId="17" borderId="31" xfId="0" applyFill="1" applyBorder="1"/>
    <xf numFmtId="165" fontId="4" fillId="0" borderId="26" xfId="7" applyNumberFormat="1" applyFont="1" applyBorder="1"/>
    <xf numFmtId="165" fontId="0" fillId="4" borderId="26" xfId="7" applyNumberFormat="1" applyFont="1" applyFill="1" applyBorder="1"/>
    <xf numFmtId="165" fontId="4" fillId="4" borderId="26" xfId="7" applyNumberFormat="1" applyFont="1" applyFill="1" applyBorder="1"/>
    <xf numFmtId="165" fontId="4" fillId="4" borderId="27" xfId="7" applyNumberFormat="1" applyFont="1" applyFill="1" applyBorder="1"/>
    <xf numFmtId="165" fontId="49" fillId="0" borderId="5" xfId="0" applyNumberFormat="1" applyFont="1" applyBorder="1"/>
    <xf numFmtId="165" fontId="38" fillId="0" borderId="5" xfId="0" applyNumberFormat="1" applyFont="1" applyBorder="1"/>
    <xf numFmtId="165" fontId="49" fillId="12" borderId="5" xfId="0" applyNumberFormat="1" applyFont="1" applyFill="1" applyBorder="1"/>
    <xf numFmtId="165" fontId="38" fillId="12" borderId="5" xfId="0" applyNumberFormat="1" applyFont="1" applyFill="1" applyBorder="1"/>
    <xf numFmtId="165" fontId="38" fillId="12" borderId="35" xfId="0" applyNumberFormat="1" applyFont="1" applyFill="1" applyBorder="1"/>
    <xf numFmtId="0" fontId="0" fillId="17" borderId="63" xfId="0" applyFill="1" applyBorder="1"/>
    <xf numFmtId="0" fontId="0" fillId="17" borderId="72" xfId="0" applyFill="1" applyBorder="1"/>
    <xf numFmtId="0" fontId="49" fillId="26" borderId="22" xfId="0" applyFont="1" applyFill="1" applyBorder="1"/>
    <xf numFmtId="165" fontId="49" fillId="0" borderId="48" xfId="0" applyNumberFormat="1" applyFont="1" applyBorder="1"/>
    <xf numFmtId="165" fontId="49" fillId="12" borderId="48" xfId="0" applyNumberFormat="1" applyFont="1" applyFill="1" applyBorder="1"/>
    <xf numFmtId="165" fontId="38" fillId="12" borderId="48" xfId="0" applyNumberFormat="1" applyFont="1" applyFill="1" applyBorder="1"/>
    <xf numFmtId="165" fontId="38" fillId="12" borderId="73" xfId="0" applyNumberFormat="1" applyFont="1" applyFill="1" applyBorder="1"/>
    <xf numFmtId="9" fontId="0" fillId="0" borderId="20" xfId="1" applyFont="1" applyBorder="1"/>
    <xf numFmtId="165" fontId="0" fillId="0" borderId="20" xfId="0" applyNumberFormat="1" applyBorder="1"/>
    <xf numFmtId="165" fontId="49" fillId="0" borderId="20" xfId="0" applyNumberFormat="1" applyFont="1" applyBorder="1"/>
    <xf numFmtId="165" fontId="49" fillId="0" borderId="31" xfId="0" applyNumberFormat="1" applyFont="1" applyBorder="1"/>
    <xf numFmtId="165" fontId="49" fillId="0" borderId="4" xfId="0" applyNumberFormat="1" applyFont="1" applyBorder="1"/>
    <xf numFmtId="0" fontId="16" fillId="20" borderId="16" xfId="0" applyFont="1" applyFill="1" applyBorder="1" applyAlignment="1">
      <alignment horizontal="center" vertical="center" wrapText="1"/>
    </xf>
    <xf numFmtId="0" fontId="16" fillId="20" borderId="22" xfId="0" applyFont="1" applyFill="1" applyBorder="1" applyAlignment="1">
      <alignment horizontal="center" vertical="center"/>
    </xf>
    <xf numFmtId="0" fontId="16" fillId="16" borderId="23" xfId="0" applyFont="1" applyFill="1" applyBorder="1" applyAlignment="1">
      <alignment horizontal="center" vertical="center"/>
    </xf>
    <xf numFmtId="0" fontId="16" fillId="11" borderId="24" xfId="0" applyFont="1" applyFill="1" applyBorder="1" applyAlignment="1">
      <alignment horizontal="center" vertical="center"/>
    </xf>
    <xf numFmtId="0" fontId="16" fillId="16" borderId="74" xfId="0" applyFont="1" applyFill="1" applyBorder="1"/>
    <xf numFmtId="0" fontId="0" fillId="16" borderId="14" xfId="0" applyFill="1" applyBorder="1"/>
    <xf numFmtId="0" fontId="0" fillId="20" borderId="41" xfId="0" applyFill="1" applyBorder="1" applyAlignment="1">
      <alignment horizontal="left"/>
    </xf>
    <xf numFmtId="0" fontId="0" fillId="16" borderId="75" xfId="0" applyFill="1" applyBorder="1"/>
    <xf numFmtId="0" fontId="0" fillId="20" borderId="76" xfId="0" applyFill="1" applyBorder="1" applyAlignment="1">
      <alignment horizontal="left"/>
    </xf>
    <xf numFmtId="0" fontId="0" fillId="16" borderId="77" xfId="0" applyFill="1" applyBorder="1"/>
    <xf numFmtId="0" fontId="16" fillId="16" borderId="66" xfId="0" applyFont="1" applyFill="1" applyBorder="1"/>
    <xf numFmtId="0" fontId="0" fillId="16" borderId="78" xfId="0" applyFill="1" applyBorder="1"/>
    <xf numFmtId="0" fontId="0" fillId="20" borderId="79" xfId="0" applyFill="1" applyBorder="1" applyAlignment="1">
      <alignment horizontal="left"/>
    </xf>
    <xf numFmtId="0" fontId="0" fillId="16" borderId="4" xfId="0" applyFill="1" applyBorder="1"/>
    <xf numFmtId="0" fontId="0" fillId="20" borderId="19" xfId="0" applyFill="1" applyBorder="1" applyAlignment="1">
      <alignment horizontal="left"/>
    </xf>
    <xf numFmtId="0" fontId="0" fillId="16" borderId="20" xfId="0" applyFill="1" applyBorder="1"/>
    <xf numFmtId="0" fontId="0" fillId="20" borderId="76" xfId="0" applyFill="1" applyBorder="1"/>
    <xf numFmtId="0" fontId="0" fillId="16" borderId="26" xfId="0" applyFill="1" applyBorder="1"/>
    <xf numFmtId="0" fontId="16" fillId="16" borderId="80" xfId="0" applyFont="1" applyFill="1" applyBorder="1"/>
    <xf numFmtId="0" fontId="0" fillId="16" borderId="81" xfId="0" applyFill="1" applyBorder="1"/>
    <xf numFmtId="0" fontId="0" fillId="20" borderId="41" xfId="0" applyFill="1" applyBorder="1"/>
    <xf numFmtId="0" fontId="0" fillId="20" borderId="19" xfId="0" applyFill="1" applyBorder="1"/>
    <xf numFmtId="0" fontId="0" fillId="20" borderId="22" xfId="0" applyFill="1" applyBorder="1"/>
    <xf numFmtId="0" fontId="0" fillId="16" borderId="23" xfId="0" applyFill="1" applyBorder="1"/>
    <xf numFmtId="0" fontId="0" fillId="11" borderId="83" xfId="0" applyFill="1" applyBorder="1"/>
    <xf numFmtId="0" fontId="50" fillId="11" borderId="3" xfId="0" applyFont="1" applyFill="1" applyBorder="1"/>
    <xf numFmtId="0" fontId="0" fillId="11" borderId="84" xfId="0" applyFill="1" applyBorder="1"/>
    <xf numFmtId="0" fontId="0" fillId="11" borderId="85" xfId="0" applyFill="1" applyBorder="1"/>
    <xf numFmtId="0" fontId="0" fillId="11" borderId="3" xfId="0" applyFill="1" applyBorder="1"/>
    <xf numFmtId="0" fontId="0" fillId="11" borderId="30" xfId="0" applyFill="1" applyBorder="1"/>
    <xf numFmtId="0" fontId="0" fillId="11" borderId="58" xfId="0" applyFill="1" applyBorder="1"/>
    <xf numFmtId="0" fontId="0" fillId="15" borderId="25" xfId="0" applyFill="1" applyBorder="1" applyAlignment="1">
      <alignment vertical="top"/>
    </xf>
    <xf numFmtId="0" fontId="0" fillId="15" borderId="26" xfId="0" applyFill="1" applyBorder="1" applyAlignment="1">
      <alignment vertical="top"/>
    </xf>
    <xf numFmtId="0" fontId="0" fillId="15" borderId="27" xfId="0" applyFill="1" applyBorder="1" applyAlignment="1">
      <alignment vertical="top"/>
    </xf>
    <xf numFmtId="0" fontId="0" fillId="4" borderId="20" xfId="0" applyFill="1" applyBorder="1"/>
    <xf numFmtId="0" fontId="0" fillId="0" borderId="20" xfId="0" applyBorder="1" applyAlignment="1">
      <alignment horizontal="center"/>
    </xf>
    <xf numFmtId="0" fontId="0" fillId="27" borderId="22" xfId="0" applyFill="1" applyBorder="1" applyAlignment="1">
      <alignment horizontal="center"/>
    </xf>
    <xf numFmtId="0" fontId="0" fillId="27" borderId="23" xfId="0" applyFill="1" applyBorder="1" applyAlignment="1">
      <alignment horizontal="center"/>
    </xf>
    <xf numFmtId="9" fontId="0" fillId="27" borderId="23" xfId="1" applyFont="1" applyFill="1" applyBorder="1" applyAlignment="1">
      <alignment horizontal="center"/>
    </xf>
    <xf numFmtId="0" fontId="0" fillId="27" borderId="24" xfId="0" applyFill="1" applyBorder="1" applyAlignment="1">
      <alignment horizontal="center"/>
    </xf>
    <xf numFmtId="0" fontId="0" fillId="28" borderId="20" xfId="16" applyNumberFormat="1" applyFont="1" applyFill="1" applyBorder="1" applyAlignment="1">
      <alignment horizontal="center"/>
    </xf>
    <xf numFmtId="166" fontId="0" fillId="0" borderId="20" xfId="16" applyNumberFormat="1" applyFont="1" applyBorder="1" applyAlignment="1">
      <alignment horizontal="center"/>
    </xf>
    <xf numFmtId="166" fontId="0" fillId="28" borderId="20" xfId="16" applyNumberFormat="1" applyFont="1" applyFill="1" applyBorder="1" applyAlignment="1">
      <alignment horizontal="center"/>
    </xf>
    <xf numFmtId="0" fontId="0" fillId="0" borderId="20" xfId="16" applyNumberFormat="1" applyFont="1" applyBorder="1" applyAlignment="1">
      <alignment horizontal="center"/>
    </xf>
    <xf numFmtId="0" fontId="0" fillId="3" borderId="20" xfId="16" applyNumberFormat="1" applyFont="1" applyFill="1" applyBorder="1" applyAlignment="1">
      <alignment horizontal="center"/>
    </xf>
    <xf numFmtId="0" fontId="0" fillId="3" borderId="4" xfId="16" applyNumberFormat="1" applyFont="1" applyFill="1" applyBorder="1" applyAlignment="1">
      <alignment horizontal="center"/>
    </xf>
    <xf numFmtId="0" fontId="0" fillId="0" borderId="4" xfId="0" applyBorder="1" applyAlignment="1">
      <alignment horizontal="center"/>
    </xf>
    <xf numFmtId="9" fontId="0" fillId="0" borderId="4" xfId="1" applyFont="1" applyBorder="1" applyAlignment="1">
      <alignment horizontal="center"/>
    </xf>
    <xf numFmtId="1" fontId="0" fillId="0" borderId="4" xfId="1" applyNumberFormat="1" applyFont="1" applyBorder="1" applyAlignment="1">
      <alignment horizontal="center"/>
    </xf>
    <xf numFmtId="1" fontId="8" fillId="0" borderId="20" xfId="16" applyNumberFormat="1" applyBorder="1" applyAlignment="1">
      <alignment horizontal="center"/>
    </xf>
    <xf numFmtId="166" fontId="0" fillId="0" borderId="4" xfId="16" applyNumberFormat="1" applyFont="1" applyBorder="1" applyAlignment="1">
      <alignment horizontal="center"/>
    </xf>
    <xf numFmtId="9" fontId="0" fillId="0" borderId="20" xfId="1" applyFont="1" applyBorder="1" applyAlignment="1">
      <alignment horizontal="center"/>
    </xf>
    <xf numFmtId="1" fontId="0" fillId="0" borderId="20" xfId="1" applyNumberFormat="1" applyFont="1" applyBorder="1" applyAlignment="1">
      <alignment horizontal="center"/>
    </xf>
    <xf numFmtId="3" fontId="0" fillId="0" borderId="20" xfId="0" applyNumberFormat="1" applyBorder="1" applyAlignment="1">
      <alignment horizontal="center"/>
    </xf>
    <xf numFmtId="0" fontId="0" fillId="0" borderId="20" xfId="16" applyNumberFormat="1" applyFont="1" applyBorder="1"/>
    <xf numFmtId="166" fontId="18" fillId="0" borderId="20" xfId="16" applyNumberFormat="1" applyFont="1" applyBorder="1"/>
    <xf numFmtId="0" fontId="18" fillId="0" borderId="20" xfId="16" applyNumberFormat="1" applyFont="1" applyBorder="1"/>
    <xf numFmtId="9" fontId="18" fillId="0" borderId="20" xfId="1" applyFont="1" applyBorder="1"/>
    <xf numFmtId="1" fontId="18" fillId="0" borderId="20" xfId="1" applyNumberFormat="1" applyFont="1" applyBorder="1"/>
    <xf numFmtId="0" fontId="0" fillId="0" borderId="26" xfId="0" applyBorder="1" applyAlignment="1">
      <alignment horizontal="center"/>
    </xf>
    <xf numFmtId="9" fontId="0" fillId="0" borderId="26" xfId="1" applyFont="1" applyBorder="1" applyAlignment="1">
      <alignment horizontal="center"/>
    </xf>
    <xf numFmtId="0" fontId="18" fillId="0" borderId="26" xfId="0" applyFont="1" applyBorder="1" applyAlignment="1">
      <alignment horizontal="center"/>
    </xf>
    <xf numFmtId="1" fontId="0" fillId="0" borderId="26" xfId="1" applyNumberFormat="1" applyFont="1" applyBorder="1" applyAlignment="1">
      <alignment horizontal="center"/>
    </xf>
    <xf numFmtId="1" fontId="8" fillId="28" borderId="20" xfId="16" applyNumberFormat="1" applyFill="1" applyBorder="1" applyAlignment="1">
      <alignment horizontal="center"/>
    </xf>
    <xf numFmtId="16" fontId="0" fillId="0" borderId="20" xfId="16" applyNumberFormat="1" applyFont="1" applyBorder="1"/>
    <xf numFmtId="1" fontId="8" fillId="0" borderId="26" xfId="16" applyNumberFormat="1" applyBorder="1" applyAlignment="1">
      <alignment horizontal="center"/>
    </xf>
    <xf numFmtId="1" fontId="8" fillId="0" borderId="53" xfId="0" applyNumberFormat="1" applyFont="1" applyBorder="1" applyAlignment="1">
      <alignment horizontal="center"/>
    </xf>
    <xf numFmtId="1" fontId="8" fillId="0" borderId="54" xfId="0" applyNumberFormat="1" applyFont="1" applyBorder="1" applyAlignment="1">
      <alignment horizontal="center"/>
    </xf>
    <xf numFmtId="1" fontId="8" fillId="0" borderId="55" xfId="0" applyNumberFormat="1" applyFont="1" applyBorder="1" applyAlignment="1">
      <alignment horizontal="center"/>
    </xf>
    <xf numFmtId="1" fontId="0" fillId="0" borderId="0" xfId="0" applyNumberFormat="1" applyAlignment="1">
      <alignment horizontal="center"/>
    </xf>
    <xf numFmtId="9" fontId="0" fillId="0" borderId="0" xfId="1" applyFont="1" applyAlignment="1">
      <alignment horizontal="center"/>
    </xf>
    <xf numFmtId="0" fontId="0" fillId="0" borderId="54" xfId="0" applyBorder="1" applyAlignment="1">
      <alignment horizontal="left"/>
    </xf>
    <xf numFmtId="0" fontId="0" fillId="0" borderId="54" xfId="0" applyBorder="1"/>
    <xf numFmtId="0" fontId="13" fillId="0" borderId="0" xfId="0" applyFont="1" applyFill="1" applyAlignment="1">
      <alignment horizontal="center"/>
    </xf>
    <xf numFmtId="0" fontId="14" fillId="0" borderId="0" xfId="0" applyFont="1" applyFill="1"/>
    <xf numFmtId="0" fontId="20" fillId="0" borderId="0" xfId="0" applyFont="1" applyFill="1"/>
    <xf numFmtId="0" fontId="1" fillId="0" borderId="0" xfId="0" applyFont="1" applyFill="1" applyAlignment="1">
      <alignment vertical="center"/>
    </xf>
    <xf numFmtId="0" fontId="0" fillId="0" borderId="0" xfId="0" applyFill="1" applyAlignment="1">
      <alignment horizontal="center" vertical="center" wrapText="1"/>
    </xf>
    <xf numFmtId="0" fontId="16" fillId="0" borderId="0" xfId="0" applyFont="1" applyFill="1"/>
    <xf numFmtId="0" fontId="0" fillId="0" borderId="0" xfId="0" applyFill="1"/>
    <xf numFmtId="3" fontId="0" fillId="20" borderId="19" xfId="7" applyNumberFormat="1" applyFont="1" applyFill="1" applyBorder="1"/>
    <xf numFmtId="3" fontId="0" fillId="20" borderId="22" xfId="7" applyNumberFormat="1" applyFont="1" applyFill="1" applyBorder="1"/>
    <xf numFmtId="6" fontId="0" fillId="20" borderId="32" xfId="7" applyNumberFormat="1" applyFont="1" applyFill="1" applyBorder="1"/>
    <xf numFmtId="6" fontId="0" fillId="0" borderId="0" xfId="0" applyNumberFormat="1"/>
    <xf numFmtId="6" fontId="0" fillId="20" borderId="64" xfId="7" applyNumberFormat="1" applyFont="1" applyFill="1" applyBorder="1"/>
    <xf numFmtId="3" fontId="0" fillId="20" borderId="16" xfId="7" applyNumberFormat="1" applyFont="1" applyFill="1" applyBorder="1"/>
    <xf numFmtId="6" fontId="0" fillId="20" borderId="62" xfId="7" applyNumberFormat="1" applyFont="1" applyFill="1" applyBorder="1"/>
    <xf numFmtId="166" fontId="0" fillId="0" borderId="0" xfId="0" applyNumberFormat="1"/>
    <xf numFmtId="0" fontId="21" fillId="0" borderId="0" xfId="0" applyFont="1" applyFill="1"/>
    <xf numFmtId="0" fontId="0" fillId="0" borderId="0" xfId="0" applyAlignment="1">
      <alignment horizontal="left"/>
    </xf>
    <xf numFmtId="0" fontId="0" fillId="0" borderId="0" xfId="0" applyAlignment="1">
      <alignment horizontal="center"/>
    </xf>
    <xf numFmtId="164" fontId="31" fillId="0" borderId="57" xfId="0" applyNumberFormat="1" applyFont="1" applyBorder="1" applyAlignment="1">
      <alignment horizontal="center"/>
    </xf>
    <xf numFmtId="0" fontId="31" fillId="0" borderId="33" xfId="0" applyFont="1" applyBorder="1" applyAlignment="1">
      <alignment horizontal="center"/>
    </xf>
    <xf numFmtId="4" fontId="31" fillId="0" borderId="33" xfId="0" applyNumberFormat="1" applyFont="1" applyBorder="1" applyAlignment="1">
      <alignment horizontal="center"/>
    </xf>
    <xf numFmtId="164" fontId="40" fillId="0" borderId="30" xfId="0" applyNumberFormat="1" applyFont="1" applyBorder="1" applyAlignment="1">
      <alignment horizontal="center"/>
    </xf>
    <xf numFmtId="164" fontId="31" fillId="0" borderId="30" xfId="0" applyNumberFormat="1" applyFont="1" applyBorder="1" applyAlignment="1">
      <alignment horizontal="center"/>
    </xf>
    <xf numFmtId="164" fontId="40" fillId="0" borderId="58" xfId="0" applyNumberFormat="1" applyFont="1" applyBorder="1" applyAlignment="1">
      <alignment horizontal="center"/>
    </xf>
    <xf numFmtId="3" fontId="0" fillId="0" borderId="16" xfId="0" applyNumberFormat="1" applyBorder="1"/>
    <xf numFmtId="3" fontId="0" fillId="0" borderId="34" xfId="0" applyNumberFormat="1" applyBorder="1"/>
    <xf numFmtId="165" fontId="0" fillId="0" borderId="17" xfId="0" applyNumberFormat="1" applyBorder="1"/>
    <xf numFmtId="3" fontId="0" fillId="0" borderId="42" xfId="0" applyNumberFormat="1" applyBorder="1"/>
    <xf numFmtId="0" fontId="0" fillId="0" borderId="0" xfId="0" applyBorder="1"/>
    <xf numFmtId="3" fontId="0" fillId="0" borderId="0" xfId="0" applyNumberFormat="1" applyBorder="1"/>
    <xf numFmtId="0" fontId="37" fillId="0" borderId="0" xfId="0" applyFont="1" applyBorder="1" applyAlignment="1">
      <alignment horizontal="left"/>
    </xf>
    <xf numFmtId="0" fontId="31" fillId="0" borderId="0" xfId="0" applyFont="1" applyBorder="1" applyAlignment="1">
      <alignment horizontal="right"/>
    </xf>
    <xf numFmtId="0" fontId="38" fillId="0" borderId="0" xfId="0" applyFont="1" applyBorder="1" applyAlignment="1">
      <alignment horizontal="right"/>
    </xf>
    <xf numFmtId="0" fontId="39" fillId="0" borderId="0" xfId="0" applyFont="1" applyBorder="1" applyAlignment="1">
      <alignment horizontal="left"/>
    </xf>
    <xf numFmtId="0" fontId="31" fillId="0" borderId="0" xfId="0" applyFont="1" applyBorder="1" applyAlignment="1">
      <alignment horizontal="left"/>
    </xf>
    <xf numFmtId="0" fontId="32" fillId="0" borderId="0" xfId="0" applyFont="1" applyBorder="1"/>
    <xf numFmtId="49" fontId="0" fillId="0" borderId="0" xfId="0" applyNumberFormat="1"/>
    <xf numFmtId="49" fontId="4" fillId="0" borderId="0" xfId="0" applyNumberFormat="1" applyFont="1"/>
    <xf numFmtId="49" fontId="0" fillId="0" borderId="0" xfId="1" applyNumberFormat="1" applyFont="1"/>
    <xf numFmtId="49" fontId="0" fillId="0" borderId="0" xfId="7" applyNumberFormat="1" applyFont="1"/>
    <xf numFmtId="49" fontId="0" fillId="20" borderId="33" xfId="1" applyNumberFormat="1" applyFont="1" applyFill="1" applyBorder="1"/>
    <xf numFmtId="49" fontId="0" fillId="20" borderId="37" xfId="0" applyNumberFormat="1" applyFill="1" applyBorder="1"/>
    <xf numFmtId="49" fontId="0" fillId="20" borderId="47" xfId="0" applyNumberFormat="1" applyFill="1" applyBorder="1"/>
    <xf numFmtId="3" fontId="0" fillId="20" borderId="20" xfId="0" applyNumberFormat="1" applyFont="1" applyFill="1" applyBorder="1" applyAlignment="1">
      <alignment horizontal="right"/>
    </xf>
    <xf numFmtId="0" fontId="4" fillId="20" borderId="0" xfId="0" applyFont="1" applyFill="1"/>
    <xf numFmtId="3" fontId="0" fillId="20" borderId="17" xfId="0" applyNumberFormat="1" applyFont="1" applyFill="1" applyBorder="1" applyAlignment="1">
      <alignment horizontal="right"/>
    </xf>
    <xf numFmtId="49" fontId="4" fillId="0" borderId="0" xfId="0" applyNumberFormat="1" applyFont="1" applyAlignment="1">
      <alignment horizontal="right"/>
    </xf>
    <xf numFmtId="0" fontId="0" fillId="0" borderId="16" xfId="0" applyBorder="1"/>
    <xf numFmtId="0" fontId="25" fillId="4" borderId="17" xfId="0" applyFont="1" applyFill="1" applyBorder="1" applyAlignment="1">
      <alignment horizontal="left"/>
    </xf>
    <xf numFmtId="0" fontId="25" fillId="4" borderId="18" xfId="0" applyFont="1" applyFill="1" applyBorder="1" applyAlignment="1">
      <alignment horizontal="left"/>
    </xf>
    <xf numFmtId="0" fontId="25" fillId="10" borderId="19" xfId="0" applyFont="1" applyFill="1" applyBorder="1" applyAlignment="1">
      <alignment horizontal="left"/>
    </xf>
    <xf numFmtId="0" fontId="0" fillId="10" borderId="21" xfId="0" applyFill="1" applyBorder="1"/>
    <xf numFmtId="3" fontId="0" fillId="0" borderId="0" xfId="0" applyNumberFormat="1" applyFill="1"/>
    <xf numFmtId="0" fontId="0" fillId="0" borderId="0" xfId="0" applyFont="1"/>
    <xf numFmtId="3" fontId="0" fillId="0" borderId="0" xfId="0" applyNumberFormat="1" applyFont="1"/>
    <xf numFmtId="164" fontId="0" fillId="0" borderId="0" xfId="0" applyNumberFormat="1" applyFont="1"/>
    <xf numFmtId="3" fontId="1" fillId="0" borderId="0" xfId="0" applyNumberFormat="1" applyFont="1" applyFill="1"/>
    <xf numFmtId="0" fontId="13" fillId="0" borderId="0" xfId="0" applyFont="1" applyFill="1"/>
    <xf numFmtId="0" fontId="2" fillId="0" borderId="0" xfId="0" applyFont="1" applyFill="1"/>
    <xf numFmtId="0" fontId="0" fillId="0" borderId="0" xfId="0" quotePrefix="1" applyFont="1" applyAlignment="1">
      <alignment horizontal="center"/>
    </xf>
    <xf numFmtId="0" fontId="0" fillId="0" borderId="0" xfId="0" quotePrefix="1" applyFont="1" applyAlignment="1">
      <alignment horizontal="right"/>
    </xf>
    <xf numFmtId="1" fontId="0" fillId="0" borderId="0" xfId="0" applyNumberFormat="1" applyFont="1"/>
    <xf numFmtId="3" fontId="0" fillId="0" borderId="0" xfId="0" quotePrefix="1" applyNumberFormat="1" applyFont="1" applyAlignment="1">
      <alignment horizontal="right"/>
    </xf>
    <xf numFmtId="0" fontId="0" fillId="0" borderId="0" xfId="0" quotePrefix="1" applyFont="1"/>
    <xf numFmtId="3" fontId="0" fillId="2" borderId="0" xfId="0" applyNumberFormat="1" applyFont="1" applyFill="1"/>
    <xf numFmtId="3" fontId="0" fillId="2" borderId="0" xfId="0" applyNumberFormat="1" applyFont="1" applyFill="1" applyAlignment="1">
      <alignment horizontal="right"/>
    </xf>
    <xf numFmtId="0" fontId="0" fillId="0" borderId="0" xfId="0" applyFont="1" applyAlignment="1">
      <alignment horizontal="center"/>
    </xf>
    <xf numFmtId="4" fontId="0" fillId="0" borderId="0" xfId="0" applyNumberFormat="1"/>
    <xf numFmtId="0" fontId="52" fillId="0" borderId="0" xfId="0" applyFont="1"/>
    <xf numFmtId="0" fontId="1" fillId="0" borderId="0" xfId="0" applyFont="1" applyAlignment="1">
      <alignment horizontal="left"/>
    </xf>
    <xf numFmtId="0" fontId="16" fillId="0" borderId="16" xfId="0" applyFont="1" applyBorder="1" applyAlignment="1">
      <alignment horizontal="center" vertical="center"/>
    </xf>
    <xf numFmtId="0" fontId="16" fillId="0" borderId="62" xfId="0" applyFont="1" applyBorder="1" applyAlignment="1">
      <alignment horizontal="center" vertical="center"/>
    </xf>
    <xf numFmtId="0" fontId="16" fillId="0" borderId="18" xfId="0" applyFont="1" applyBorder="1" applyAlignment="1">
      <alignment horizontal="center" vertical="center"/>
    </xf>
    <xf numFmtId="0" fontId="16" fillId="20" borderId="16" xfId="0" applyFont="1" applyFill="1" applyBorder="1" applyAlignment="1">
      <alignment horizontal="center" vertical="center"/>
    </xf>
    <xf numFmtId="0" fontId="16" fillId="20" borderId="62" xfId="0" applyFont="1" applyFill="1" applyBorder="1" applyAlignment="1">
      <alignment horizontal="center" vertical="center"/>
    </xf>
    <xf numFmtId="0" fontId="16" fillId="20" borderId="18" xfId="0" applyFont="1" applyFill="1" applyBorder="1" applyAlignment="1">
      <alignment horizontal="center" vertical="center"/>
    </xf>
    <xf numFmtId="0" fontId="16" fillId="0" borderId="56" xfId="0" applyFont="1" applyBorder="1" applyAlignment="1">
      <alignment horizontal="center" vertical="center" wrapText="1"/>
    </xf>
    <xf numFmtId="0" fontId="16" fillId="0" borderId="63" xfId="0" applyFont="1" applyBorder="1" applyAlignment="1">
      <alignment horizontal="center" vertical="center" wrapText="1"/>
    </xf>
    <xf numFmtId="0" fontId="13" fillId="0" borderId="9" xfId="0" applyFont="1" applyBorder="1" applyAlignment="1">
      <alignment horizontal="center"/>
    </xf>
    <xf numFmtId="0" fontId="13" fillId="0" borderId="11" xfId="0" applyFont="1" applyBorder="1" applyAlignment="1">
      <alignment horizontal="center"/>
    </xf>
    <xf numFmtId="0" fontId="0" fillId="0" borderId="16"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22" xfId="0" applyBorder="1" applyAlignment="1">
      <alignment horizontal="center" vertical="center" wrapText="1"/>
    </xf>
    <xf numFmtId="0" fontId="0" fillId="0" borderId="0" xfId="0" applyAlignment="1">
      <alignment horizontal="left" wrapText="1"/>
    </xf>
    <xf numFmtId="9" fontId="0" fillId="0" borderId="26" xfId="1" applyFont="1" applyBorder="1" applyAlignment="1">
      <alignment horizontal="center" vertical="center"/>
    </xf>
    <xf numFmtId="9" fontId="0" fillId="0" borderId="4" xfId="1" applyFont="1" applyBorder="1" applyAlignment="1">
      <alignment horizontal="center" vertical="center"/>
    </xf>
    <xf numFmtId="9" fontId="0" fillId="0" borderId="2" xfId="1" applyFont="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18" borderId="9" xfId="0" applyFont="1" applyFill="1" applyBorder="1" applyAlignment="1">
      <alignment horizontal="center" vertical="center"/>
    </xf>
    <xf numFmtId="0" fontId="13" fillId="18" borderId="10" xfId="0" applyFont="1" applyFill="1" applyBorder="1" applyAlignment="1">
      <alignment horizontal="center" vertical="center"/>
    </xf>
    <xf numFmtId="0" fontId="13" fillId="18" borderId="11"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left"/>
    </xf>
    <xf numFmtId="0" fontId="28" fillId="0" borderId="0" xfId="0" applyFont="1" applyAlignment="1">
      <alignment horizontal="center" vertical="center"/>
    </xf>
    <xf numFmtId="0" fontId="41" fillId="3" borderId="45" xfId="0" applyFont="1" applyFill="1" applyBorder="1" applyAlignment="1">
      <alignment horizontal="center" vertical="center"/>
    </xf>
    <xf numFmtId="0" fontId="41" fillId="3" borderId="33" xfId="0" applyFont="1" applyFill="1" applyBorder="1" applyAlignment="1">
      <alignment horizontal="center" vertical="center"/>
    </xf>
    <xf numFmtId="0" fontId="41" fillId="3" borderId="44" xfId="0" applyFont="1" applyFill="1" applyBorder="1" applyAlignment="1">
      <alignment horizontal="center" vertical="center"/>
    </xf>
    <xf numFmtId="0" fontId="31" fillId="0" borderId="9" xfId="0" applyFont="1" applyBorder="1" applyAlignment="1">
      <alignment horizontal="center" wrapText="1"/>
    </xf>
    <xf numFmtId="0" fontId="31" fillId="0" borderId="10" xfId="0" applyFont="1" applyBorder="1" applyAlignment="1">
      <alignment horizontal="center" wrapText="1"/>
    </xf>
    <xf numFmtId="0" fontId="31" fillId="0" borderId="43" xfId="0" applyFont="1" applyBorder="1" applyAlignment="1">
      <alignment horizontal="center" wrapText="1"/>
    </xf>
    <xf numFmtId="0" fontId="41" fillId="3" borderId="42" xfId="0" applyFont="1" applyFill="1" applyBorder="1" applyAlignment="1">
      <alignment horizontal="center" vertical="center"/>
    </xf>
    <xf numFmtId="0" fontId="41" fillId="0" borderId="45" xfId="0" applyFont="1" applyBorder="1" applyAlignment="1">
      <alignment horizontal="center" vertical="center"/>
    </xf>
    <xf numFmtId="0" fontId="41" fillId="0" borderId="33" xfId="0" applyFont="1" applyBorder="1" applyAlignment="1">
      <alignment horizontal="center" vertical="center"/>
    </xf>
    <xf numFmtId="0" fontId="41" fillId="0" borderId="44" xfId="0" applyFont="1" applyBorder="1" applyAlignment="1">
      <alignment horizontal="center" vertical="center"/>
    </xf>
    <xf numFmtId="0" fontId="41" fillId="29" borderId="45" xfId="0" applyFont="1" applyFill="1" applyBorder="1" applyAlignment="1">
      <alignment horizontal="center" vertical="center"/>
    </xf>
    <xf numFmtId="0" fontId="41" fillId="29" borderId="33" xfId="0" applyFont="1" applyFill="1" applyBorder="1" applyAlignment="1">
      <alignment horizontal="center" vertical="center"/>
    </xf>
    <xf numFmtId="0" fontId="41" fillId="29" borderId="44" xfId="0" applyFont="1" applyFill="1" applyBorder="1" applyAlignment="1">
      <alignment horizontal="center" vertical="center"/>
    </xf>
    <xf numFmtId="0" fontId="0" fillId="0" borderId="0" xfId="0" applyAlignment="1">
      <alignment horizontal="left" vertical="top" wrapText="1"/>
    </xf>
    <xf numFmtId="0" fontId="13" fillId="20" borderId="10" xfId="0" applyFont="1" applyFill="1" applyBorder="1" applyAlignment="1">
      <alignment horizontal="center" vertical="center"/>
    </xf>
    <xf numFmtId="0" fontId="13" fillId="20" borderId="11" xfId="0" applyFont="1" applyFill="1" applyBorder="1" applyAlignment="1">
      <alignment horizontal="center" vertical="center"/>
    </xf>
    <xf numFmtId="0" fontId="13" fillId="20" borderId="9" xfId="0" applyFont="1" applyFill="1" applyBorder="1" applyAlignment="1">
      <alignment horizontal="center" vertical="center"/>
    </xf>
    <xf numFmtId="0" fontId="13" fillId="0" borderId="60" xfId="0" applyFont="1" applyBorder="1" applyAlignment="1">
      <alignment horizontal="center" vertical="center"/>
    </xf>
    <xf numFmtId="0" fontId="13" fillId="0" borderId="54" xfId="0" applyFont="1" applyBorder="1" applyAlignment="1">
      <alignment horizontal="center" vertical="center"/>
    </xf>
    <xf numFmtId="0" fontId="13" fillId="0" borderId="61" xfId="0" applyFont="1" applyBorder="1" applyAlignment="1">
      <alignment horizontal="center" vertical="center"/>
    </xf>
    <xf numFmtId="0" fontId="13" fillId="0" borderId="53" xfId="0" applyFont="1" applyBorder="1" applyAlignment="1">
      <alignment horizontal="center" vertical="center"/>
    </xf>
    <xf numFmtId="0" fontId="13" fillId="0" borderId="55" xfId="0" applyFont="1" applyBorder="1" applyAlignment="1">
      <alignment horizontal="center" vertical="center"/>
    </xf>
    <xf numFmtId="0" fontId="13" fillId="20" borderId="53" xfId="0" applyFont="1" applyFill="1" applyBorder="1" applyAlignment="1">
      <alignment horizontal="center" vertical="center"/>
    </xf>
    <xf numFmtId="0" fontId="13" fillId="20" borderId="54" xfId="0" applyFont="1" applyFill="1" applyBorder="1" applyAlignment="1">
      <alignment horizontal="center" vertical="center"/>
    </xf>
    <xf numFmtId="0" fontId="13" fillId="20" borderId="55" xfId="0" applyFont="1" applyFill="1" applyBorder="1" applyAlignment="1">
      <alignment horizontal="center" vertical="center"/>
    </xf>
    <xf numFmtId="0" fontId="2" fillId="0" borderId="42" xfId="0" applyFont="1" applyBorder="1" applyAlignment="1">
      <alignment horizontal="center" vertical="center"/>
    </xf>
    <xf numFmtId="0" fontId="2" fillId="0" borderId="33" xfId="0" applyFont="1" applyBorder="1" applyAlignment="1">
      <alignment horizontal="center" vertical="center"/>
    </xf>
    <xf numFmtId="0" fontId="2" fillId="0" borderId="28" xfId="0" applyFont="1" applyBorder="1" applyAlignment="1">
      <alignment horizontal="center" vertical="center"/>
    </xf>
    <xf numFmtId="0" fontId="2" fillId="20" borderId="42" xfId="0" applyFont="1" applyFill="1" applyBorder="1" applyAlignment="1">
      <alignment horizontal="center" vertical="center"/>
    </xf>
    <xf numFmtId="0" fontId="2" fillId="20" borderId="33" xfId="0" applyFont="1" applyFill="1" applyBorder="1" applyAlignment="1">
      <alignment horizontal="center" vertical="center"/>
    </xf>
    <xf numFmtId="0" fontId="2" fillId="20" borderId="28" xfId="0" applyFont="1" applyFill="1" applyBorder="1" applyAlignment="1">
      <alignment horizontal="center" vertical="center"/>
    </xf>
    <xf numFmtId="0" fontId="30" fillId="0" borderId="0" xfId="0" applyFont="1" applyAlignment="1">
      <alignment horizontal="center" vertical="center" wrapText="1"/>
    </xf>
    <xf numFmtId="0" fontId="0" fillId="0" borderId="0" xfId="0" applyAlignment="1">
      <alignment horizontal="center"/>
    </xf>
    <xf numFmtId="0" fontId="0" fillId="0" borderId="37" xfId="0" applyBorder="1" applyAlignment="1">
      <alignment horizontal="center"/>
    </xf>
    <xf numFmtId="0" fontId="0" fillId="0" borderId="20" xfId="0" applyBorder="1" applyAlignment="1">
      <alignment horizontal="center"/>
    </xf>
    <xf numFmtId="164" fontId="0" fillId="10" borderId="30" xfId="1" applyNumberFormat="1" applyFont="1" applyFill="1" applyBorder="1" applyAlignment="1">
      <alignment horizontal="center"/>
    </xf>
    <xf numFmtId="164" fontId="0" fillId="10" borderId="32" xfId="1" applyNumberFormat="1" applyFont="1" applyFill="1" applyBorder="1" applyAlignment="1">
      <alignment horizontal="center"/>
    </xf>
    <xf numFmtId="164" fontId="0" fillId="10" borderId="31" xfId="1" applyNumberFormat="1" applyFont="1" applyFill="1" applyBorder="1" applyAlignment="1">
      <alignment horizontal="center"/>
    </xf>
    <xf numFmtId="1" fontId="0" fillId="10" borderId="30" xfId="0" applyNumberFormat="1" applyFill="1" applyBorder="1" applyAlignment="1">
      <alignment horizontal="center"/>
    </xf>
    <xf numFmtId="1" fontId="0" fillId="10" borderId="31" xfId="0" applyNumberFormat="1" applyFill="1" applyBorder="1" applyAlignment="1">
      <alignment horizontal="center"/>
    </xf>
    <xf numFmtId="1" fontId="0" fillId="10" borderId="32" xfId="0" applyNumberFormat="1" applyFill="1" applyBorder="1" applyAlignment="1">
      <alignment horizontal="center"/>
    </xf>
    <xf numFmtId="0" fontId="0" fillId="0" borderId="0" xfId="0" applyAlignment="1">
      <alignment horizontal="left" vertical="top"/>
    </xf>
    <xf numFmtId="3" fontId="0" fillId="10" borderId="30" xfId="0" applyNumberFormat="1" applyFill="1" applyBorder="1" applyAlignment="1">
      <alignment horizontal="center"/>
    </xf>
    <xf numFmtId="0" fontId="0" fillId="10" borderId="31" xfId="0" applyFill="1" applyBorder="1" applyAlignment="1">
      <alignment horizontal="center"/>
    </xf>
    <xf numFmtId="3" fontId="0" fillId="10" borderId="32" xfId="0" applyNumberFormat="1" applyFill="1" applyBorder="1" applyAlignment="1">
      <alignment horizontal="center"/>
    </xf>
    <xf numFmtId="3" fontId="0" fillId="10" borderId="31" xfId="0" applyNumberFormat="1" applyFill="1" applyBorder="1" applyAlignment="1">
      <alignment horizontal="center"/>
    </xf>
    <xf numFmtId="0" fontId="0" fillId="10" borderId="32" xfId="0" applyFill="1" applyBorder="1" applyAlignment="1">
      <alignment horizontal="center"/>
    </xf>
    <xf numFmtId="0" fontId="16" fillId="15" borderId="17" xfId="0" applyFont="1" applyFill="1" applyBorder="1" applyAlignment="1">
      <alignment horizontal="center" vertical="center" wrapText="1"/>
    </xf>
    <xf numFmtId="0" fontId="16" fillId="15" borderId="18" xfId="0" applyFont="1" applyFill="1" applyBorder="1" applyAlignment="1">
      <alignment horizontal="center" vertical="center" wrapText="1"/>
    </xf>
    <xf numFmtId="0" fontId="0" fillId="15" borderId="39" xfId="0" applyFill="1" applyBorder="1" applyAlignment="1">
      <alignment horizontal="center" vertical="top"/>
    </xf>
    <xf numFmtId="0" fontId="0" fillId="15" borderId="62" xfId="0" applyFill="1" applyBorder="1" applyAlignment="1">
      <alignment horizontal="center" vertical="top"/>
    </xf>
    <xf numFmtId="0" fontId="0" fillId="15" borderId="82" xfId="0" applyFill="1" applyBorder="1" applyAlignment="1">
      <alignment horizontal="center" vertical="top"/>
    </xf>
    <xf numFmtId="0" fontId="0" fillId="27" borderId="16" xfId="0" applyFill="1" applyBorder="1" applyAlignment="1">
      <alignment horizontal="center"/>
    </xf>
    <xf numFmtId="0" fontId="0" fillId="27" borderId="17" xfId="0" applyFill="1" applyBorder="1" applyAlignment="1">
      <alignment horizontal="center"/>
    </xf>
    <xf numFmtId="0" fontId="0" fillId="27" borderId="18" xfId="0" applyFill="1" applyBorder="1" applyAlignment="1">
      <alignment horizontal="center"/>
    </xf>
    <xf numFmtId="0" fontId="0" fillId="0" borderId="57" xfId="0" applyBorder="1" applyAlignment="1">
      <alignment horizontal="center"/>
    </xf>
    <xf numFmtId="0" fontId="0" fillId="0" borderId="62" xfId="0" applyBorder="1" applyAlignment="1">
      <alignment horizontal="center"/>
    </xf>
    <xf numFmtId="0" fontId="0" fillId="0" borderId="47" xfId="0" applyBorder="1" applyAlignment="1">
      <alignment horizontal="center"/>
    </xf>
    <xf numFmtId="0" fontId="51" fillId="3" borderId="53" xfId="0" applyFont="1" applyFill="1" applyBorder="1" applyAlignment="1">
      <alignment horizontal="center"/>
    </xf>
    <xf numFmtId="0" fontId="51" fillId="3" borderId="54" xfId="0" applyFont="1" applyFill="1" applyBorder="1" applyAlignment="1">
      <alignment horizontal="center"/>
    </xf>
    <xf numFmtId="0" fontId="51" fillId="3" borderId="55" xfId="0" applyFont="1" applyFill="1" applyBorder="1" applyAlignment="1">
      <alignment horizontal="center"/>
    </xf>
    <xf numFmtId="0" fontId="18" fillId="0" borderId="20" xfId="0" applyFont="1" applyBorder="1" applyAlignment="1">
      <alignment horizontal="center"/>
    </xf>
    <xf numFmtId="0" fontId="18" fillId="0" borderId="26" xfId="0" applyFont="1" applyBorder="1" applyAlignment="1">
      <alignment horizontal="center"/>
    </xf>
    <xf numFmtId="0" fontId="1" fillId="27" borderId="16" xfId="0" applyFont="1" applyFill="1" applyBorder="1" applyAlignment="1">
      <alignment horizontal="center"/>
    </xf>
    <xf numFmtId="0" fontId="1" fillId="27" borderId="17" xfId="0" applyFont="1" applyFill="1" applyBorder="1" applyAlignment="1">
      <alignment horizontal="center"/>
    </xf>
  </cellXfs>
  <cellStyles count="21">
    <cellStyle name="Comma" xfId="7" builtinId="3"/>
    <cellStyle name="Comma 2" xfId="8"/>
    <cellStyle name="Comma 2 2" xfId="9"/>
    <cellStyle name="Comma 3" xfId="10"/>
    <cellStyle name="Comma 3 2" xfId="11"/>
    <cellStyle name="Currency" xfId="16" builtinId="4"/>
    <cellStyle name="Currency 2" xfId="12"/>
    <cellStyle name="Hyperlink" xfId="17" builtinId="8"/>
    <cellStyle name="Normal" xfId="0" builtinId="0"/>
    <cellStyle name="Normal 2" xfId="3"/>
    <cellStyle name="Normal 2 2" xfId="4"/>
    <cellStyle name="Normal 2 3" xfId="5"/>
    <cellStyle name="Normal 2 4" xfId="13"/>
    <cellStyle name="Normal 2 5" xfId="14"/>
    <cellStyle name="Normal 2 6" xfId="20"/>
    <cellStyle name="Normal 3" xfId="6"/>
    <cellStyle name="Normal 3 2" xfId="15"/>
    <cellStyle name="Normal 4" xfId="2"/>
    <cellStyle name="Normal 5" xfId="18"/>
    <cellStyle name="Percent" xfId="1" builtinId="5"/>
    <cellStyle name="Percent 2" xfId="19"/>
  </cellStyles>
  <dxfs count="5">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5" formatCode="_(* #,##0_);_(* \(#,##0\);_(* &quot;-&quot;??_);_(@_)"/>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5" formatCode="_(* #,##0_);_(* \(#,##0\);_(* &quot;-&quot;??_);_(@_)"/>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6" formatCode="_(&quot;$&quot;* #,##0_);_(&quot;$&quot;* \(#,##0\);_(&quot;$&quot;* &quot;-&quot;??_);_(@_)"/>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6" formatCode="_(&quot;$&quot;* #,##0_);_(&quot;$&quot;* \(#,##0\);_(&quot;$&quot;* &quot;-&quot;??_);_(@_)"/>
      <fill>
        <patternFill patternType="none">
          <fgColor indexed="64"/>
          <bgColor indexed="65"/>
        </patternFill>
      </fill>
    </dxf>
  </dxfs>
  <tableStyles count="0" defaultTableStyle="TableStyleMedium2" defaultPivotStyle="PivotStyleLight16"/>
  <colors>
    <mruColors>
      <color rgb="FFFDBBBB"/>
      <color rgb="FFFFFFCC"/>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 Rochester Annual Job Totals</a:t>
            </a:r>
          </a:p>
          <a:p>
            <a:pPr>
              <a:defRPr sz="1600" b="1" i="0" u="none" strike="noStrike" kern="1200" baseline="0">
                <a:solidFill>
                  <a:schemeClr val="tx2"/>
                </a:solidFill>
                <a:latin typeface="+mn-lt"/>
                <a:ea typeface="+mn-ea"/>
                <a:cs typeface="+mn-cs"/>
              </a:defRPr>
            </a:pPr>
            <a:r>
              <a:rPr lang="en-US"/>
              <a:t>MN</a:t>
            </a:r>
            <a:r>
              <a:rPr lang="en-US" baseline="0"/>
              <a:t> DEED Quarterly Census of Employment and Wages</a:t>
            </a:r>
            <a:r>
              <a:rPr lang="en-US"/>
              <a:t>  </a:t>
            </a:r>
          </a:p>
        </c:rich>
      </c:tx>
      <c:overlay val="0"/>
      <c:spPr>
        <a:noFill/>
        <a:ln>
          <a:noFill/>
        </a:ln>
        <a:effectLst/>
      </c:spPr>
    </c:title>
    <c:autoTitleDeleted val="0"/>
    <c:plotArea>
      <c:layout/>
      <c:lineChart>
        <c:grouping val="standard"/>
        <c:varyColors val="0"/>
        <c:ser>
          <c:idx val="0"/>
          <c:order val="0"/>
          <c:tx>
            <c:strRef>
              <c:f>'Employment and Wages'!$C$73</c:f>
              <c:strCache>
                <c:ptCount val="1"/>
                <c:pt idx="0">
                  <c:v>Rochester </c:v>
                </c:pt>
              </c:strCache>
            </c:strRef>
          </c:tx>
          <c:spPr>
            <a:ln w="31750" cap="rnd">
              <a:solidFill>
                <a:schemeClr val="accent1"/>
              </a:solidFill>
              <a:round/>
            </a:ln>
            <a:effectLst/>
          </c:spPr>
          <c:marker>
            <c:symbol val="none"/>
          </c:marker>
          <c:dLbls>
            <c:spPr>
              <a:solidFill>
                <a:schemeClr val="bg1"/>
              </a:solidFill>
              <a:ln>
                <a:noFill/>
              </a:ln>
              <a:effectLst/>
            </c:spPr>
            <c:txPr>
              <a:bodyPr rot="0" spcFirstLastPara="1" vertOverflow="ellipsis" vert="horz" wrap="square" lIns="38100" tIns="19050" rIns="38100" bIns="914400" anchor="ctr" anchorCtr="1">
                <a:spAutoFit/>
              </a:bodyPr>
              <a:lstStyle/>
              <a:p>
                <a:pPr>
                  <a:defRPr sz="1200" b="0"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tx2">
                          <a:lumMod val="35000"/>
                          <a:lumOff val="65000"/>
                        </a:schemeClr>
                      </a:solidFill>
                    </a:ln>
                    <a:effectLst/>
                  </c:spPr>
                </c15:leaderLines>
              </c:ext>
            </c:extLst>
          </c:dLbls>
          <c:cat>
            <c:numRef>
              <c:f>'Employment and Wages'!$B$74:$B$79</c:f>
              <c:numCache>
                <c:formatCode>0</c:formatCode>
                <c:ptCount val="6"/>
                <c:pt idx="0">
                  <c:v>2012</c:v>
                </c:pt>
                <c:pt idx="1">
                  <c:v>2013</c:v>
                </c:pt>
                <c:pt idx="2">
                  <c:v>2014</c:v>
                </c:pt>
                <c:pt idx="3">
                  <c:v>2015</c:v>
                </c:pt>
                <c:pt idx="4">
                  <c:v>2016</c:v>
                </c:pt>
                <c:pt idx="5">
                  <c:v>2017</c:v>
                </c:pt>
              </c:numCache>
            </c:numRef>
          </c:cat>
          <c:val>
            <c:numRef>
              <c:f>'Employment and Wages'!$C$74:$C$79</c:f>
              <c:numCache>
                <c:formatCode>_(* #,##0_);_(* \(#,##0\);_(* "-"??_);_(@_)</c:formatCode>
                <c:ptCount val="6"/>
                <c:pt idx="0">
                  <c:v>85144</c:v>
                </c:pt>
                <c:pt idx="1">
                  <c:v>86347</c:v>
                </c:pt>
                <c:pt idx="2">
                  <c:v>86053</c:v>
                </c:pt>
                <c:pt idx="3">
                  <c:v>87447</c:v>
                </c:pt>
                <c:pt idx="4">
                  <c:v>89534</c:v>
                </c:pt>
                <c:pt idx="5">
                  <c:v>91380</c:v>
                </c:pt>
              </c:numCache>
            </c:numRef>
          </c:val>
          <c:smooth val="0"/>
          <c:extLst>
            <c:ext xmlns:c16="http://schemas.microsoft.com/office/drawing/2014/chart" uri="{C3380CC4-5D6E-409C-BE32-E72D297353CC}">
              <c16:uniqueId val="{00000000-33BF-2C48-9DE6-62F4F3379884}"/>
            </c:ext>
          </c:extLst>
        </c:ser>
        <c:dLbls>
          <c:dLblPos val="ctr"/>
          <c:showLegendKey val="0"/>
          <c:showVal val="1"/>
          <c:showCatName val="0"/>
          <c:showSerName val="0"/>
          <c:showPercent val="0"/>
          <c:showBubbleSize val="0"/>
        </c:dLbls>
        <c:smooth val="0"/>
        <c:axId val="408988952"/>
        <c:axId val="409449480"/>
      </c:lineChart>
      <c:catAx>
        <c:axId val="408988952"/>
        <c:scaling>
          <c:orientation val="minMax"/>
        </c:scaling>
        <c:delete val="0"/>
        <c:axPos val="b"/>
        <c:numFmt formatCode="0"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crossAx val="409449480"/>
        <c:crosses val="autoZero"/>
        <c:auto val="1"/>
        <c:lblAlgn val="ctr"/>
        <c:lblOffset val="100"/>
        <c:noMultiLvlLbl val="0"/>
      </c:catAx>
      <c:valAx>
        <c:axId val="409449480"/>
        <c:scaling>
          <c:orientation val="minMax"/>
        </c:scaling>
        <c:delete val="0"/>
        <c:axPos val="l"/>
        <c:majorGridlines>
          <c:spPr>
            <a:ln w="9525" cap="flat" cmpd="sng" algn="ctr">
              <a:solidFill>
                <a:schemeClr val="tx2">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crossAx val="408988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Affordable Housing Built</a:t>
            </a:r>
            <a:r>
              <a:rPr lang="en-US" baseline="0"/>
              <a:t> to Date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'AH Stock Tracking &amp; Buildt tD'!$AE$2</c:f>
              <c:strCache>
                <c:ptCount val="1"/>
                <c:pt idx="0">
                  <c:v>Projected Units Needed</c:v>
                </c:pt>
              </c:strCache>
            </c:strRef>
          </c:tx>
          <c:spPr>
            <a:solidFill>
              <a:schemeClr val="accent1"/>
            </a:solidFill>
            <a:ln>
              <a:noFill/>
            </a:ln>
            <a:effectLst/>
          </c:spPr>
          <c:invertIfNegative val="0"/>
          <c:cat>
            <c:strRef>
              <c:f>'AH Stock Tracking &amp; Buildt tD'!$AF$1:$AL$1</c:f>
              <c:strCache>
                <c:ptCount val="7"/>
                <c:pt idx="0">
                  <c:v>30-40%</c:v>
                </c:pt>
                <c:pt idx="1">
                  <c:v>40-44%</c:v>
                </c:pt>
                <c:pt idx="2">
                  <c:v>45-49%</c:v>
                </c:pt>
                <c:pt idx="3">
                  <c:v>50-59%</c:v>
                </c:pt>
                <c:pt idx="4">
                  <c:v>60-64%</c:v>
                </c:pt>
                <c:pt idx="5">
                  <c:v>65-74%</c:v>
                </c:pt>
                <c:pt idx="6">
                  <c:v>75-89%</c:v>
                </c:pt>
              </c:strCache>
            </c:strRef>
          </c:cat>
          <c:val>
            <c:numRef>
              <c:f>'AH Stock Tracking &amp; Buildt tD'!$AF$2:$AL$2</c:f>
              <c:numCache>
                <c:formatCode>General</c:formatCode>
                <c:ptCount val="7"/>
                <c:pt idx="0">
                  <c:v>417</c:v>
                </c:pt>
                <c:pt idx="1">
                  <c:v>484</c:v>
                </c:pt>
                <c:pt idx="2">
                  <c:v>439</c:v>
                </c:pt>
                <c:pt idx="3">
                  <c:v>406</c:v>
                </c:pt>
                <c:pt idx="4">
                  <c:v>496</c:v>
                </c:pt>
                <c:pt idx="5">
                  <c:v>394</c:v>
                </c:pt>
                <c:pt idx="6">
                  <c:v>901</c:v>
                </c:pt>
              </c:numCache>
            </c:numRef>
          </c:val>
          <c:extLst>
            <c:ext xmlns:c16="http://schemas.microsoft.com/office/drawing/2014/chart" uri="{C3380CC4-5D6E-409C-BE32-E72D297353CC}">
              <c16:uniqueId val="{00000000-47A9-7F44-A8C4-2C1AAEC98CC0}"/>
            </c:ext>
          </c:extLst>
        </c:ser>
        <c:ser>
          <c:idx val="1"/>
          <c:order val="1"/>
          <c:tx>
            <c:strRef>
              <c:f>'AH Stock Tracking &amp; Buildt tD'!$AE$3</c:f>
              <c:strCache>
                <c:ptCount val="1"/>
                <c:pt idx="0">
                  <c:v>Built Units</c:v>
                </c:pt>
              </c:strCache>
            </c:strRef>
          </c:tx>
          <c:spPr>
            <a:solidFill>
              <a:schemeClr val="accent2"/>
            </a:solidFill>
            <a:ln>
              <a:noFill/>
            </a:ln>
            <a:effectLst/>
          </c:spPr>
          <c:invertIfNegative val="0"/>
          <c:cat>
            <c:strRef>
              <c:f>'AH Stock Tracking &amp; Buildt tD'!$AF$1:$AL$1</c:f>
              <c:strCache>
                <c:ptCount val="7"/>
                <c:pt idx="0">
                  <c:v>30-40%</c:v>
                </c:pt>
                <c:pt idx="1">
                  <c:v>40-44%</c:v>
                </c:pt>
                <c:pt idx="2">
                  <c:v>45-49%</c:v>
                </c:pt>
                <c:pt idx="3">
                  <c:v>50-59%</c:v>
                </c:pt>
                <c:pt idx="4">
                  <c:v>60-64%</c:v>
                </c:pt>
                <c:pt idx="5">
                  <c:v>65-74%</c:v>
                </c:pt>
                <c:pt idx="6">
                  <c:v>75-89%</c:v>
                </c:pt>
              </c:strCache>
            </c:strRef>
          </c:cat>
          <c:val>
            <c:numRef>
              <c:f>'AH Stock Tracking &amp; Buildt tD'!$AF$3:$AL$3</c:f>
              <c:numCache>
                <c:formatCode>General</c:formatCode>
                <c:ptCount val="7"/>
                <c:pt idx="2">
                  <c:v>62</c:v>
                </c:pt>
                <c:pt idx="3">
                  <c:v>794</c:v>
                </c:pt>
              </c:numCache>
            </c:numRef>
          </c:val>
          <c:extLst>
            <c:ext xmlns:c16="http://schemas.microsoft.com/office/drawing/2014/chart" uri="{C3380CC4-5D6E-409C-BE32-E72D297353CC}">
              <c16:uniqueId val="{00000001-47A9-7F44-A8C4-2C1AAEC98CC0}"/>
            </c:ext>
          </c:extLst>
        </c:ser>
        <c:dLbls>
          <c:showLegendKey val="0"/>
          <c:showVal val="0"/>
          <c:showCatName val="0"/>
          <c:showSerName val="0"/>
          <c:showPercent val="0"/>
          <c:showBubbleSize val="0"/>
        </c:dLbls>
        <c:gapWidth val="219"/>
        <c:overlap val="-27"/>
        <c:axId val="523981000"/>
        <c:axId val="523981392"/>
      </c:barChart>
      <c:catAx>
        <c:axId val="5239810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Area</a:t>
                </a:r>
                <a:r>
                  <a:rPr lang="en-US" baseline="0"/>
                  <a:t> Median Income Brackets</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981392"/>
        <c:crosses val="autoZero"/>
        <c:auto val="1"/>
        <c:lblAlgn val="ctr"/>
        <c:lblOffset val="100"/>
        <c:noMultiLvlLbl val="0"/>
      </c:catAx>
      <c:valAx>
        <c:axId val="5239813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Affordable Housing Units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981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Quarterly Census of Employment and Wages - Rochester MN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'Employment and Wages'!$V$73</c:f>
              <c:strCache>
                <c:ptCount val="1"/>
                <c:pt idx="0">
                  <c:v>Jobs</c:v>
                </c:pt>
              </c:strCache>
            </c:strRef>
          </c:tx>
          <c:spPr>
            <a:solidFill>
              <a:schemeClr val="accent1"/>
            </a:solidFill>
            <a:ln w="38100">
              <a:solidFill>
                <a:schemeClr val="accent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'Employment and Wages'!$U$74:$U$79</c:f>
              <c:numCache>
                <c:formatCode>0</c:formatCode>
                <c:ptCount val="6"/>
                <c:pt idx="0">
                  <c:v>2012</c:v>
                </c:pt>
                <c:pt idx="1">
                  <c:v>2013</c:v>
                </c:pt>
                <c:pt idx="2">
                  <c:v>2014</c:v>
                </c:pt>
                <c:pt idx="3">
                  <c:v>2015</c:v>
                </c:pt>
                <c:pt idx="4">
                  <c:v>2016</c:v>
                </c:pt>
                <c:pt idx="5">
                  <c:v>2017</c:v>
                </c:pt>
              </c:numCache>
            </c:numRef>
          </c:cat>
          <c:val>
            <c:numRef>
              <c:f>'Employment and Wages'!$V$74:$V$79</c:f>
              <c:numCache>
                <c:formatCode>_(* #,##0_);_(* \(#,##0\);_(* "-"??_);_(@_)</c:formatCode>
                <c:ptCount val="6"/>
                <c:pt idx="0">
                  <c:v>85144</c:v>
                </c:pt>
                <c:pt idx="1">
                  <c:v>86347</c:v>
                </c:pt>
                <c:pt idx="2">
                  <c:v>86053</c:v>
                </c:pt>
                <c:pt idx="3">
                  <c:v>87447</c:v>
                </c:pt>
                <c:pt idx="4">
                  <c:v>89534</c:v>
                </c:pt>
                <c:pt idx="5">
                  <c:v>91380</c:v>
                </c:pt>
              </c:numCache>
            </c:numRef>
          </c:val>
          <c:extLst>
            <c:ext xmlns:c16="http://schemas.microsoft.com/office/drawing/2014/chart" uri="{C3380CC4-5D6E-409C-BE32-E72D297353CC}">
              <c16:uniqueId val="{00000000-FA7E-B54F-83A4-A4FCAC5F0F97}"/>
            </c:ext>
          </c:extLst>
        </c:ser>
        <c:ser>
          <c:idx val="1"/>
          <c:order val="1"/>
          <c:tx>
            <c:strRef>
              <c:f>'Employment and Wages'!$W$73</c:f>
              <c:strCache>
                <c:ptCount val="1"/>
                <c:pt idx="0">
                  <c:v>Wages</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'Employment and Wages'!$U$74:$U$79</c:f>
              <c:numCache>
                <c:formatCode>0</c:formatCode>
                <c:ptCount val="6"/>
                <c:pt idx="0">
                  <c:v>2012</c:v>
                </c:pt>
                <c:pt idx="1">
                  <c:v>2013</c:v>
                </c:pt>
                <c:pt idx="2">
                  <c:v>2014</c:v>
                </c:pt>
                <c:pt idx="3">
                  <c:v>2015</c:v>
                </c:pt>
                <c:pt idx="4">
                  <c:v>2016</c:v>
                </c:pt>
                <c:pt idx="5">
                  <c:v>2017</c:v>
                </c:pt>
              </c:numCache>
            </c:numRef>
          </c:cat>
          <c:val>
            <c:numRef>
              <c:f>'Employment and Wages'!$W$74:$W$79</c:f>
              <c:numCache>
                <c:formatCode>_("$"* #,##0_);_("$"* \(#,##0\);_("$"* "-"??_);_(@_)</c:formatCode>
                <c:ptCount val="6"/>
                <c:pt idx="0">
                  <c:v>53864</c:v>
                </c:pt>
                <c:pt idx="1">
                  <c:v>54646</c:v>
                </c:pt>
                <c:pt idx="2">
                  <c:v>55949</c:v>
                </c:pt>
                <c:pt idx="3">
                  <c:v>57722</c:v>
                </c:pt>
                <c:pt idx="4">
                  <c:v>59026</c:v>
                </c:pt>
                <c:pt idx="5">
                  <c:v>61529</c:v>
                </c:pt>
              </c:numCache>
            </c:numRef>
          </c:val>
          <c:extLst>
            <c:ext xmlns:c16="http://schemas.microsoft.com/office/drawing/2014/chart" uri="{C3380CC4-5D6E-409C-BE32-E72D297353CC}">
              <c16:uniqueId val="{00000001-FA7E-B54F-83A4-A4FCAC5F0F97}"/>
            </c:ext>
          </c:extLst>
        </c:ser>
        <c:dLbls>
          <c:showLegendKey val="0"/>
          <c:showVal val="0"/>
          <c:showCatName val="0"/>
          <c:showSerName val="0"/>
          <c:showPercent val="0"/>
          <c:showBubbleSize val="0"/>
        </c:dLbls>
        <c:gapWidth val="83"/>
        <c:overlap val="-27"/>
        <c:axId val="410638088"/>
        <c:axId val="410638472"/>
      </c:barChart>
      <c:catAx>
        <c:axId val="41063808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410638472"/>
        <c:crosses val="autoZero"/>
        <c:auto val="1"/>
        <c:lblAlgn val="ctr"/>
        <c:lblOffset val="100"/>
        <c:noMultiLvlLbl val="0"/>
      </c:catAx>
      <c:valAx>
        <c:axId val="410638472"/>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410638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2017 Household AMI%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07-B144-BB50-2431DD60D2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07-B144-BB50-2431DD60D21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07-B144-BB50-2431DD60D21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07-B144-BB50-2431DD60D21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07-B144-BB50-2431DD60D21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07-B144-BB50-2431DD60D21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707-B144-BB50-2431DD60D21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707-B144-BB50-2431DD60D212}"/>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707-B144-BB50-2431DD60D212}"/>
              </c:ext>
            </c:extLst>
          </c:dPt>
          <c:cat>
            <c:strRef>
              <c:f>'HH AMI% Pie Chart'!$G$121:$G$129</c:f>
              <c:strCache>
                <c:ptCount val="9"/>
                <c:pt idx="0">
                  <c:v>0-35%</c:v>
                </c:pt>
                <c:pt idx="1">
                  <c:v>35-40%</c:v>
                </c:pt>
                <c:pt idx="2">
                  <c:v>40-45%</c:v>
                </c:pt>
                <c:pt idx="3">
                  <c:v>45-55%</c:v>
                </c:pt>
                <c:pt idx="4">
                  <c:v>55-60%</c:v>
                </c:pt>
                <c:pt idx="5">
                  <c:v>60-65%</c:v>
                </c:pt>
                <c:pt idx="6">
                  <c:v>65-80%</c:v>
                </c:pt>
                <c:pt idx="7">
                  <c:v>80-100%</c:v>
                </c:pt>
                <c:pt idx="8">
                  <c:v>&gt;100%</c:v>
                </c:pt>
              </c:strCache>
            </c:strRef>
          </c:cat>
          <c:val>
            <c:numRef>
              <c:f>'HH AMI% Pie Chart'!$H$121:$H$129</c:f>
              <c:numCache>
                <c:formatCode>0.0%</c:formatCode>
                <c:ptCount val="9"/>
                <c:pt idx="0">
                  <c:v>0.14199999999999999</c:v>
                </c:pt>
                <c:pt idx="1">
                  <c:v>3.9E-2</c:v>
                </c:pt>
                <c:pt idx="2">
                  <c:v>2.3E-2</c:v>
                </c:pt>
                <c:pt idx="3">
                  <c:v>2.3E-2</c:v>
                </c:pt>
                <c:pt idx="4">
                  <c:v>4.2000000000000003E-2</c:v>
                </c:pt>
                <c:pt idx="5">
                  <c:v>2.7E-2</c:v>
                </c:pt>
                <c:pt idx="6">
                  <c:v>9.5000000000000001E-2</c:v>
                </c:pt>
                <c:pt idx="7">
                  <c:v>0.105</c:v>
                </c:pt>
                <c:pt idx="8">
                  <c:v>0.504</c:v>
                </c:pt>
              </c:numCache>
            </c:numRef>
          </c:val>
          <c:extLst>
            <c:ext xmlns:c16="http://schemas.microsoft.com/office/drawing/2014/chart" uri="{C3380CC4-5D6E-409C-BE32-E72D297353CC}">
              <c16:uniqueId val="{00000000-3132-FA43-8235-EDE60B0E793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FB1-8C4A-83EE-A3209456FFD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FB1-8C4A-83EE-A3209456FFD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FB1-8C4A-83EE-A3209456FFD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FB1-8C4A-83EE-A3209456FFD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FB1-8C4A-83EE-A3209456FFD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FB1-8C4A-83EE-A3209456FFD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FB1-8C4A-83EE-A3209456FFD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FB1-8C4A-83EE-A3209456FFD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FB1-8C4A-83EE-A3209456FFDC}"/>
              </c:ext>
            </c:extLst>
          </c:dPt>
          <c:cat>
            <c:strRef>
              <c:f>'HH AMI% Pie Chart'!$G$90:$G$98</c:f>
              <c:strCache>
                <c:ptCount val="9"/>
                <c:pt idx="0">
                  <c:v>0-30%</c:v>
                </c:pt>
                <c:pt idx="1">
                  <c:v>30-40%</c:v>
                </c:pt>
                <c:pt idx="2">
                  <c:v>40-45%</c:v>
                </c:pt>
                <c:pt idx="3">
                  <c:v>45-55%</c:v>
                </c:pt>
                <c:pt idx="4">
                  <c:v>55-60%</c:v>
                </c:pt>
                <c:pt idx="5">
                  <c:v>60-70%</c:v>
                </c:pt>
                <c:pt idx="6">
                  <c:v>70-75%</c:v>
                </c:pt>
                <c:pt idx="7">
                  <c:v>75-90%</c:v>
                </c:pt>
                <c:pt idx="8">
                  <c:v>&gt;90%</c:v>
                </c:pt>
              </c:strCache>
            </c:strRef>
          </c:cat>
          <c:val>
            <c:numRef>
              <c:f>'HH AMI% Pie Chart'!$H$90:$H$98</c:f>
              <c:numCache>
                <c:formatCode>General</c:formatCode>
                <c:ptCount val="9"/>
                <c:pt idx="0">
                  <c:v>11.5</c:v>
                </c:pt>
                <c:pt idx="1">
                  <c:v>4.9000000000000004</c:v>
                </c:pt>
                <c:pt idx="2">
                  <c:v>3.4</c:v>
                </c:pt>
                <c:pt idx="3">
                  <c:v>4.2</c:v>
                </c:pt>
                <c:pt idx="4">
                  <c:v>5</c:v>
                </c:pt>
                <c:pt idx="5">
                  <c:v>4.8</c:v>
                </c:pt>
                <c:pt idx="6">
                  <c:v>4.8</c:v>
                </c:pt>
                <c:pt idx="7">
                  <c:v>6.5</c:v>
                </c:pt>
                <c:pt idx="8">
                  <c:v>54.9</c:v>
                </c:pt>
              </c:numCache>
            </c:numRef>
          </c:val>
          <c:extLst>
            <c:ext xmlns:c16="http://schemas.microsoft.com/office/drawing/2014/chart" uri="{C3380CC4-5D6E-409C-BE32-E72D297353CC}">
              <c16:uniqueId val="{00000000-46A6-8842-A27C-C3F438C5A80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35-100% AMI Affordable Housing Needs</a:t>
            </a:r>
            <a:r>
              <a:rPr lang="en-US" baseline="0"/>
              <a:t> Based on 4563 Unit Projection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'HH AMI% Pie Chart'!$G$122:$G$128</c:f>
              <c:strCache>
                <c:ptCount val="7"/>
                <c:pt idx="0">
                  <c:v>35-40%</c:v>
                </c:pt>
                <c:pt idx="1">
                  <c:v>40-45%</c:v>
                </c:pt>
                <c:pt idx="2">
                  <c:v>45-55%</c:v>
                </c:pt>
                <c:pt idx="3">
                  <c:v>55-60%</c:v>
                </c:pt>
                <c:pt idx="4">
                  <c:v>60-65%</c:v>
                </c:pt>
                <c:pt idx="5">
                  <c:v>65-80%</c:v>
                </c:pt>
                <c:pt idx="6">
                  <c:v>80-100%</c:v>
                </c:pt>
              </c:strCache>
            </c:strRef>
          </c:cat>
          <c:val>
            <c:numRef>
              <c:f>'HH AMI% Pie Chart'!$I$122:$I$128</c:f>
              <c:numCache>
                <c:formatCode>0</c:formatCode>
                <c:ptCount val="7"/>
                <c:pt idx="0">
                  <c:v>389.66949152542378</c:v>
                </c:pt>
                <c:pt idx="1">
                  <c:v>229.80508474576271</c:v>
                </c:pt>
                <c:pt idx="2">
                  <c:v>229.80508474576271</c:v>
                </c:pt>
                <c:pt idx="3">
                  <c:v>419.64406779661022</c:v>
                </c:pt>
                <c:pt idx="4">
                  <c:v>269.77118644067798</c:v>
                </c:pt>
                <c:pt idx="5">
                  <c:v>949.19491525423734</c:v>
                </c:pt>
                <c:pt idx="6">
                  <c:v>1049.1101694915253</c:v>
                </c:pt>
              </c:numCache>
            </c:numRef>
          </c:val>
          <c:extLst>
            <c:ext xmlns:c16="http://schemas.microsoft.com/office/drawing/2014/chart" uri="{C3380CC4-5D6E-409C-BE32-E72D297353CC}">
              <c16:uniqueId val="{00000000-8DDA-024A-99F4-688E99579D47}"/>
            </c:ext>
          </c:extLst>
        </c:ser>
        <c:dLbls>
          <c:showLegendKey val="0"/>
          <c:showVal val="0"/>
          <c:showCatName val="0"/>
          <c:showSerName val="0"/>
          <c:showPercent val="0"/>
          <c:showBubbleSize val="0"/>
        </c:dLbls>
        <c:gapWidth val="219"/>
        <c:overlap val="-27"/>
        <c:axId val="409065288"/>
        <c:axId val="407835712"/>
      </c:barChart>
      <c:catAx>
        <c:axId val="409065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7835712"/>
        <c:crosses val="autoZero"/>
        <c:auto val="1"/>
        <c:lblAlgn val="ctr"/>
        <c:lblOffset val="100"/>
        <c:noMultiLvlLbl val="0"/>
      </c:catAx>
      <c:valAx>
        <c:axId val="407835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065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'HH AMI% Pie Chart'!$G$132:$G$136</c:f>
              <c:strCache>
                <c:ptCount val="5"/>
                <c:pt idx="0">
                  <c:v>35-45%</c:v>
                </c:pt>
                <c:pt idx="1">
                  <c:v>45-55%</c:v>
                </c:pt>
                <c:pt idx="2">
                  <c:v>55-65%</c:v>
                </c:pt>
                <c:pt idx="3">
                  <c:v>65-80%</c:v>
                </c:pt>
                <c:pt idx="4">
                  <c:v>80-100%</c:v>
                </c:pt>
              </c:strCache>
            </c:strRef>
          </c:cat>
          <c:val>
            <c:numRef>
              <c:f>'HH AMI% Pie Chart'!$I$132:$I$136</c:f>
              <c:numCache>
                <c:formatCode>0</c:formatCode>
                <c:ptCount val="5"/>
                <c:pt idx="0">
                  <c:v>619.47457627118638</c:v>
                </c:pt>
                <c:pt idx="1">
                  <c:v>229.80508474576271</c:v>
                </c:pt>
                <c:pt idx="2">
                  <c:v>689.41525423728831</c:v>
                </c:pt>
                <c:pt idx="3">
                  <c:v>949.19491525423734</c:v>
                </c:pt>
                <c:pt idx="4">
                  <c:v>1049.1101694915253</c:v>
                </c:pt>
              </c:numCache>
            </c:numRef>
          </c:val>
          <c:extLst>
            <c:ext xmlns:c16="http://schemas.microsoft.com/office/drawing/2014/chart" uri="{C3380CC4-5D6E-409C-BE32-E72D297353CC}">
              <c16:uniqueId val="{00000000-3BD6-C844-AF2C-D9ED4B5E6257}"/>
            </c:ext>
          </c:extLst>
        </c:ser>
        <c:dLbls>
          <c:showLegendKey val="0"/>
          <c:showVal val="0"/>
          <c:showCatName val="0"/>
          <c:showSerName val="0"/>
          <c:showPercent val="0"/>
          <c:showBubbleSize val="0"/>
        </c:dLbls>
        <c:gapWidth val="219"/>
        <c:overlap val="-27"/>
        <c:axId val="410161752"/>
        <c:axId val="410967280"/>
      </c:barChart>
      <c:catAx>
        <c:axId val="410161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967280"/>
        <c:crosses val="autoZero"/>
        <c:auto val="1"/>
        <c:lblAlgn val="ctr"/>
        <c:lblOffset val="100"/>
        <c:noMultiLvlLbl val="0"/>
      </c:catAx>
      <c:valAx>
        <c:axId val="4109672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161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2014-2017 Average Household AMI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8639373952909716"/>
          <c:y val="6.7863765539791746E-2"/>
          <c:w val="0.62105379032892594"/>
          <c:h val="0.80298780956142946"/>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24-A04B-B8C2-6EEF3B3E954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24-A04B-B8C2-6EEF3B3E954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24-A04B-B8C2-6EEF3B3E954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24-A04B-B8C2-6EEF3B3E954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24-A04B-B8C2-6EEF3B3E954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24-A04B-B8C2-6EEF3B3E954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724-A04B-B8C2-6EEF3B3E954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724-A04B-B8C2-6EEF3B3E954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2-4E15-8E43-8553-E8EE9E4CF128}"/>
              </c:ext>
            </c:extLst>
          </c:dPt>
          <c:cat>
            <c:strRef>
              <c:f>'HH AMI% Pie Chart'!$AD$14:$AD$22</c:f>
              <c:strCache>
                <c:ptCount val="9"/>
                <c:pt idx="0">
                  <c:v>0-30%</c:v>
                </c:pt>
                <c:pt idx="1">
                  <c:v>30-40%</c:v>
                </c:pt>
                <c:pt idx="2">
                  <c:v>40-45%</c:v>
                </c:pt>
                <c:pt idx="3">
                  <c:v>45-50%</c:v>
                </c:pt>
                <c:pt idx="4">
                  <c:v>50-60%</c:v>
                </c:pt>
                <c:pt idx="5">
                  <c:v>60-65%</c:v>
                </c:pt>
                <c:pt idx="6">
                  <c:v>65-75%</c:v>
                </c:pt>
                <c:pt idx="7">
                  <c:v>75-90%</c:v>
                </c:pt>
                <c:pt idx="8">
                  <c:v>&gt;90%</c:v>
                </c:pt>
              </c:strCache>
            </c:strRef>
          </c:cat>
          <c:val>
            <c:numRef>
              <c:f>'HH AMI% Pie Chart'!$AE$14:$AE$22</c:f>
              <c:numCache>
                <c:formatCode>0.0%</c:formatCode>
                <c:ptCount val="9"/>
                <c:pt idx="0">
                  <c:v>0.121</c:v>
                </c:pt>
                <c:pt idx="1">
                  <c:v>3.6999999999999998E-2</c:v>
                </c:pt>
                <c:pt idx="2">
                  <c:v>4.2999999999999997E-2</c:v>
                </c:pt>
                <c:pt idx="3">
                  <c:v>3.9E-2</c:v>
                </c:pt>
                <c:pt idx="4">
                  <c:v>3.5999999999999997E-2</c:v>
                </c:pt>
                <c:pt idx="5">
                  <c:v>4.3999999999999997E-2</c:v>
                </c:pt>
                <c:pt idx="6">
                  <c:v>3.5000000000000003E-2</c:v>
                </c:pt>
                <c:pt idx="7">
                  <c:v>0.08</c:v>
                </c:pt>
                <c:pt idx="8">
                  <c:v>0.56599999999999995</c:v>
                </c:pt>
              </c:numCache>
            </c:numRef>
          </c:val>
          <c:extLst>
            <c:ext xmlns:c16="http://schemas.microsoft.com/office/drawing/2014/chart" uri="{C3380CC4-5D6E-409C-BE32-E72D297353CC}">
              <c16:uniqueId val="{00000000-4E15-8E43-8553-E8EE9E4CF128}"/>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5.2434074607686934E-3"/>
          <c:y val="0.83700927489070598"/>
          <c:w val="0.99105274649682795"/>
          <c:h val="0.151046383858523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Affordable</a:t>
            </a:r>
            <a:r>
              <a:rPr lang="en-US" sz="1800" baseline="0"/>
              <a:t> Housing Needs by Household AMI%</a:t>
            </a:r>
          </a:p>
          <a:p>
            <a:pPr>
              <a:defRPr sz="1800"/>
            </a:pPr>
            <a:r>
              <a:rPr lang="en-US" sz="1800" baseline="0"/>
              <a:t>2014-2017 Mean Data</a:t>
            </a:r>
          </a:p>
          <a:p>
            <a:pPr>
              <a:defRPr sz="1800"/>
            </a:pPr>
            <a:r>
              <a:rPr lang="en-US" sz="1800" baseline="0"/>
              <a:t>(Based on 3537 New Unit Projection)</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v>New Ownership</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'HH AMI% Pie Chart'!$AH$27:$AH$33</c:f>
              <c:strCache>
                <c:ptCount val="7"/>
                <c:pt idx="0">
                  <c:v>30-40%</c:v>
                </c:pt>
                <c:pt idx="1">
                  <c:v>40-45%</c:v>
                </c:pt>
                <c:pt idx="2">
                  <c:v>45-50%</c:v>
                </c:pt>
                <c:pt idx="3">
                  <c:v>50-60%</c:v>
                </c:pt>
                <c:pt idx="4">
                  <c:v>60-65%</c:v>
                </c:pt>
                <c:pt idx="5">
                  <c:v>65-75%</c:v>
                </c:pt>
                <c:pt idx="6">
                  <c:v>75-90%</c:v>
                </c:pt>
              </c:strCache>
            </c:strRef>
          </c:cat>
          <c:val>
            <c:numRef>
              <c:f>'HH AMI% Pie Chart'!$AI$27:$AI$33</c:f>
              <c:numCache>
                <c:formatCode>0</c:formatCode>
                <c:ptCount val="7"/>
                <c:pt idx="0">
                  <c:v>177.22292993630572</c:v>
                </c:pt>
                <c:pt idx="1">
                  <c:v>205.96178343949043</c:v>
                </c:pt>
                <c:pt idx="2">
                  <c:v>186.80254777070064</c:v>
                </c:pt>
                <c:pt idx="3">
                  <c:v>172.43312101910826</c:v>
                </c:pt>
                <c:pt idx="4">
                  <c:v>210.75159235668789</c:v>
                </c:pt>
                <c:pt idx="5">
                  <c:v>167.64331210191085</c:v>
                </c:pt>
                <c:pt idx="6">
                  <c:v>383.18471337579615</c:v>
                </c:pt>
              </c:numCache>
            </c:numRef>
          </c:val>
          <c:extLst>
            <c:ext xmlns:c16="http://schemas.microsoft.com/office/drawing/2014/chart" uri="{C3380CC4-5D6E-409C-BE32-E72D297353CC}">
              <c16:uniqueId val="{00000000-E2A8-417F-A952-65F3DB3B6E8B}"/>
            </c:ext>
          </c:extLst>
        </c:ser>
        <c:ser>
          <c:idx val="1"/>
          <c:order val="1"/>
          <c:tx>
            <c:v>New Rental</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'HH AMI% Pie Chart'!$AH$27:$AH$33</c:f>
              <c:strCache>
                <c:ptCount val="7"/>
                <c:pt idx="0">
                  <c:v>30-40%</c:v>
                </c:pt>
                <c:pt idx="1">
                  <c:v>40-45%</c:v>
                </c:pt>
                <c:pt idx="2">
                  <c:v>45-50%</c:v>
                </c:pt>
                <c:pt idx="3">
                  <c:v>50-60%</c:v>
                </c:pt>
                <c:pt idx="4">
                  <c:v>60-65%</c:v>
                </c:pt>
                <c:pt idx="5">
                  <c:v>65-75%</c:v>
                </c:pt>
                <c:pt idx="6">
                  <c:v>75-90%</c:v>
                </c:pt>
              </c:strCache>
            </c:strRef>
          </c:cat>
          <c:val>
            <c:numRef>
              <c:f>'HH AMI% Pie Chart'!$AJ$27:$AJ$33</c:f>
              <c:numCache>
                <c:formatCode>0</c:formatCode>
                <c:ptCount val="7"/>
                <c:pt idx="0">
                  <c:v>315.91401273885344</c:v>
                </c:pt>
                <c:pt idx="1">
                  <c:v>367.14331210191079</c:v>
                </c:pt>
                <c:pt idx="2">
                  <c:v>332.99044585987264</c:v>
                </c:pt>
                <c:pt idx="3">
                  <c:v>307.37579617834393</c:v>
                </c:pt>
                <c:pt idx="4">
                  <c:v>375.68152866242036</c:v>
                </c:pt>
                <c:pt idx="5">
                  <c:v>298.83757961783442</c:v>
                </c:pt>
                <c:pt idx="6">
                  <c:v>683.0573248407643</c:v>
                </c:pt>
              </c:numCache>
            </c:numRef>
          </c:val>
          <c:extLst>
            <c:ext xmlns:c16="http://schemas.microsoft.com/office/drawing/2014/chart" uri="{C3380CC4-5D6E-409C-BE32-E72D297353CC}">
              <c16:uniqueId val="{00000001-E2A8-417F-A952-65F3DB3B6E8B}"/>
            </c:ext>
          </c:extLst>
        </c:ser>
        <c:dLbls>
          <c:showLegendKey val="0"/>
          <c:showVal val="0"/>
          <c:showCatName val="0"/>
          <c:showSerName val="0"/>
          <c:showPercent val="0"/>
          <c:showBubbleSize val="0"/>
        </c:dLbls>
        <c:gapWidth val="50"/>
        <c:overlap val="100"/>
        <c:axId val="408435760"/>
        <c:axId val="408435368"/>
      </c:barChart>
      <c:catAx>
        <c:axId val="408435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08435368"/>
        <c:crossesAt val="0"/>
        <c:auto val="1"/>
        <c:lblAlgn val="ctr"/>
        <c:lblOffset val="100"/>
        <c:noMultiLvlLbl val="0"/>
      </c:catAx>
      <c:valAx>
        <c:axId val="408435368"/>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800" b="1" i="0" u="sng" strike="noStrike" kern="1200" baseline="0">
                    <a:solidFill>
                      <a:schemeClr val="tx1">
                        <a:lumMod val="65000"/>
                        <a:lumOff val="35000"/>
                      </a:schemeClr>
                    </a:solidFill>
                    <a:latin typeface="+mn-lt"/>
                    <a:ea typeface="+mn-ea"/>
                    <a:cs typeface="+mn-cs"/>
                  </a:defRPr>
                </a:pPr>
                <a:r>
                  <a:rPr lang="en-US" sz="1800" b="1" u="sng" baseline="0"/>
                  <a:t>Projected Units Needed </a:t>
                </a:r>
                <a:endParaRPr lang="en-US" sz="1800" b="1" u="sng"/>
              </a:p>
            </c:rich>
          </c:tx>
          <c:overlay val="0"/>
          <c:spPr>
            <a:noFill/>
            <a:ln>
              <a:noFill/>
            </a:ln>
            <a:effectLst/>
          </c:spPr>
          <c:txPr>
            <a:bodyPr rot="-5400000" spcFirstLastPara="1" vertOverflow="ellipsis" vert="horz" wrap="square" anchor="ctr" anchorCtr="1"/>
            <a:lstStyle/>
            <a:p>
              <a:pPr>
                <a:defRPr sz="1800" b="1" i="0" u="sng"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out"/>
        <c:tickLblPos val="nextTo"/>
        <c:spPr>
          <a:noFill/>
          <a:ln>
            <a:solidFill>
              <a:schemeClr val="accent1"/>
            </a:solid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08435760"/>
        <c:crosses val="autoZero"/>
        <c:crossBetween val="between"/>
      </c:valAx>
      <c:spPr>
        <a:noFill/>
        <a:ln>
          <a:noFill/>
        </a:ln>
        <a:effectLst/>
      </c:spPr>
    </c:plotArea>
    <c:legend>
      <c:legendPos val="b"/>
      <c:layout>
        <c:manualLayout>
          <c:xMode val="edge"/>
          <c:yMode val="edge"/>
          <c:x val="0.33900756427696693"/>
          <c:y val="0.93903343900194292"/>
          <c:w val="0.40275622736129202"/>
          <c:h val="4.8060946927088656E-2"/>
        </c:manualLayout>
      </c:layout>
      <c:overlay val="0"/>
      <c:spPr>
        <a:noFill/>
        <a:ln>
          <a:noFill/>
        </a:ln>
        <a:effectLst/>
      </c:spPr>
      <c:txPr>
        <a:bodyPr rot="0" spcFirstLastPara="1" vertOverflow="ellipsis" vert="horz" wrap="square" anchor="ctr" anchorCtr="1"/>
        <a:lstStyle/>
        <a:p>
          <a:pPr>
            <a:defRPr sz="1800" b="1" i="0" u="sng"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t>Projected Affordable</a:t>
            </a:r>
            <a:r>
              <a:rPr lang="en-US" baseline="0"/>
              <a:t> Ownership and Rental Needs</a:t>
            </a:r>
            <a:endParaRPr lang="en-US"/>
          </a:p>
        </c:rich>
      </c:tx>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'HH AMI% Pie Chart'!$AI$26</c:f>
              <c:strCache>
                <c:ptCount val="1"/>
                <c:pt idx="0">
                  <c:v>New Ownership</c:v>
                </c:pt>
              </c:strCache>
            </c:strRef>
          </c:tx>
          <c:spPr>
            <a:solidFill>
              <a:schemeClr val="accent1"/>
            </a:solidFill>
            <a:ln>
              <a:noFill/>
            </a:ln>
            <a:effectLst/>
          </c:spPr>
          <c:invertIfNegative val="0"/>
          <c:dLbls>
            <c:dLbl>
              <c:idx val="1"/>
              <c:layout>
                <c:manualLayout>
                  <c:x val="-1.3878792462001615E-2"/>
                  <c:y val="-3.6293796856665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9D2-43BE-A0F2-DC0A143C6265}"/>
                </c:ext>
              </c:extLst>
            </c:dLbl>
            <c:dLbl>
              <c:idx val="2"/>
              <c:layout>
                <c:manualLayout>
                  <c:x val="-1.6654550954401937E-2"/>
                  <c:y val="-4.03264409518501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9D2-43BE-A0F2-DC0A143C6265}"/>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'HH AMI% Pie Chart'!$AH$27:$AH$33</c:f>
              <c:strCache>
                <c:ptCount val="7"/>
                <c:pt idx="0">
                  <c:v>30-40%</c:v>
                </c:pt>
                <c:pt idx="1">
                  <c:v>40-45%</c:v>
                </c:pt>
                <c:pt idx="2">
                  <c:v>45-50%</c:v>
                </c:pt>
                <c:pt idx="3">
                  <c:v>50-60%</c:v>
                </c:pt>
                <c:pt idx="4">
                  <c:v>60-65%</c:v>
                </c:pt>
                <c:pt idx="5">
                  <c:v>65-75%</c:v>
                </c:pt>
                <c:pt idx="6">
                  <c:v>75-90%</c:v>
                </c:pt>
              </c:strCache>
            </c:strRef>
          </c:cat>
          <c:val>
            <c:numRef>
              <c:f>'HH AMI% Pie Chart'!$AI$27:$AI$33</c:f>
              <c:numCache>
                <c:formatCode>0</c:formatCode>
                <c:ptCount val="7"/>
                <c:pt idx="0">
                  <c:v>177.22292993630572</c:v>
                </c:pt>
                <c:pt idx="1">
                  <c:v>205.96178343949043</c:v>
                </c:pt>
                <c:pt idx="2">
                  <c:v>186.80254777070064</c:v>
                </c:pt>
                <c:pt idx="3">
                  <c:v>172.43312101910826</c:v>
                </c:pt>
                <c:pt idx="4">
                  <c:v>210.75159235668789</c:v>
                </c:pt>
                <c:pt idx="5">
                  <c:v>167.64331210191085</c:v>
                </c:pt>
                <c:pt idx="6">
                  <c:v>383.18471337579615</c:v>
                </c:pt>
              </c:numCache>
            </c:numRef>
          </c:val>
          <c:extLst>
            <c:ext xmlns:c16="http://schemas.microsoft.com/office/drawing/2014/chart" uri="{C3380CC4-5D6E-409C-BE32-E72D297353CC}">
              <c16:uniqueId val="{00000000-C8EE-AC4C-A054-F741E481BEAC}"/>
            </c:ext>
          </c:extLst>
        </c:ser>
        <c:ser>
          <c:idx val="1"/>
          <c:order val="1"/>
          <c:tx>
            <c:strRef>
              <c:f>'HH AMI% Pie Chart'!$AJ$26</c:f>
              <c:strCache>
                <c:ptCount val="1"/>
                <c:pt idx="0">
                  <c:v>New Rental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'HH AMI% Pie Chart'!$AH$27:$AH$33</c:f>
              <c:strCache>
                <c:ptCount val="7"/>
                <c:pt idx="0">
                  <c:v>30-40%</c:v>
                </c:pt>
                <c:pt idx="1">
                  <c:v>40-45%</c:v>
                </c:pt>
                <c:pt idx="2">
                  <c:v>45-50%</c:v>
                </c:pt>
                <c:pt idx="3">
                  <c:v>50-60%</c:v>
                </c:pt>
                <c:pt idx="4">
                  <c:v>60-65%</c:v>
                </c:pt>
                <c:pt idx="5">
                  <c:v>65-75%</c:v>
                </c:pt>
                <c:pt idx="6">
                  <c:v>75-90%</c:v>
                </c:pt>
              </c:strCache>
            </c:strRef>
          </c:cat>
          <c:val>
            <c:numRef>
              <c:f>'HH AMI% Pie Chart'!$AJ$27:$AJ$33</c:f>
              <c:numCache>
                <c:formatCode>0</c:formatCode>
                <c:ptCount val="7"/>
                <c:pt idx="0">
                  <c:v>315.91401273885344</c:v>
                </c:pt>
                <c:pt idx="1">
                  <c:v>367.14331210191079</c:v>
                </c:pt>
                <c:pt idx="2">
                  <c:v>332.99044585987264</c:v>
                </c:pt>
                <c:pt idx="3">
                  <c:v>307.37579617834393</c:v>
                </c:pt>
                <c:pt idx="4">
                  <c:v>375.68152866242036</c:v>
                </c:pt>
                <c:pt idx="5">
                  <c:v>298.83757961783442</c:v>
                </c:pt>
                <c:pt idx="6">
                  <c:v>683.0573248407643</c:v>
                </c:pt>
              </c:numCache>
            </c:numRef>
          </c:val>
          <c:extLst>
            <c:ext xmlns:c16="http://schemas.microsoft.com/office/drawing/2014/chart" uri="{C3380CC4-5D6E-409C-BE32-E72D297353CC}">
              <c16:uniqueId val="{00000001-C8EE-AC4C-A054-F741E481BEAC}"/>
            </c:ext>
          </c:extLst>
        </c:ser>
        <c:dLbls>
          <c:showLegendKey val="0"/>
          <c:showVal val="0"/>
          <c:showCatName val="0"/>
          <c:showSerName val="0"/>
          <c:showPercent val="0"/>
          <c:showBubbleSize val="0"/>
        </c:dLbls>
        <c:gapWidth val="33"/>
        <c:overlap val="100"/>
        <c:axId val="408434976"/>
        <c:axId val="408434584"/>
      </c:barChart>
      <c:barChart>
        <c:barDir val="col"/>
        <c:grouping val="clustered"/>
        <c:varyColors val="0"/>
        <c:ser>
          <c:idx val="2"/>
          <c:order val="2"/>
          <c:tx>
            <c:v>Rental Built</c:v>
          </c:tx>
          <c:spPr>
            <a:solidFill>
              <a:schemeClr val="accent3"/>
            </a:solidFill>
            <a:ln>
              <a:noFill/>
            </a:ln>
            <a:effectLst/>
          </c:spPr>
          <c:invertIfNegative val="0"/>
          <c:dLbls>
            <c:dLbl>
              <c:idx val="1"/>
              <c:layout>
                <c:manualLayout>
                  <c:x val="2.9145464170203392E-2"/>
                  <c:y val="-4.032644095185006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9D2-43BE-A0F2-DC0A143C6265}"/>
                </c:ext>
              </c:extLst>
            </c:dLbl>
            <c:dLbl>
              <c:idx val="2"/>
              <c:layout>
                <c:manualLayout>
                  <c:x val="2.2206067939202583E-2"/>
                  <c:y val="6.0489661427775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9D2-43BE-A0F2-DC0A143C6265}"/>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'HH AMI% Pie Chart'!$AH$27:$AH$33</c:f>
              <c:strCache>
                <c:ptCount val="7"/>
                <c:pt idx="0">
                  <c:v>30-40%</c:v>
                </c:pt>
                <c:pt idx="1">
                  <c:v>40-45%</c:v>
                </c:pt>
                <c:pt idx="2">
                  <c:v>45-50%</c:v>
                </c:pt>
                <c:pt idx="3">
                  <c:v>50-60%</c:v>
                </c:pt>
                <c:pt idx="4">
                  <c:v>60-65%</c:v>
                </c:pt>
                <c:pt idx="5">
                  <c:v>65-75%</c:v>
                </c:pt>
                <c:pt idx="6">
                  <c:v>75-90%</c:v>
                </c:pt>
              </c:strCache>
            </c:strRef>
          </c:cat>
          <c:val>
            <c:numRef>
              <c:f>'HH AMI% Pie Chart'!$AK$27:$AK$33</c:f>
              <c:numCache>
                <c:formatCode>General</c:formatCode>
                <c:ptCount val="7"/>
                <c:pt idx="1">
                  <c:v>31</c:v>
                </c:pt>
                <c:pt idx="2">
                  <c:v>31</c:v>
                </c:pt>
                <c:pt idx="3" formatCode="0">
                  <c:v>794</c:v>
                </c:pt>
              </c:numCache>
            </c:numRef>
          </c:val>
          <c:extLst>
            <c:ext xmlns:c16="http://schemas.microsoft.com/office/drawing/2014/chart" uri="{C3380CC4-5D6E-409C-BE32-E72D297353CC}">
              <c16:uniqueId val="{00000000-89D2-43BE-A0F2-DC0A143C6265}"/>
            </c:ext>
          </c:extLst>
        </c:ser>
        <c:dLbls>
          <c:showLegendKey val="0"/>
          <c:showVal val="0"/>
          <c:showCatName val="0"/>
          <c:showSerName val="0"/>
          <c:showPercent val="0"/>
          <c:showBubbleSize val="0"/>
        </c:dLbls>
        <c:gapWidth val="300"/>
        <c:overlap val="100"/>
        <c:axId val="523980216"/>
        <c:axId val="408434192"/>
      </c:barChart>
      <c:catAx>
        <c:axId val="408434976"/>
        <c:scaling>
          <c:orientation val="minMax"/>
        </c:scaling>
        <c:delete val="0"/>
        <c:axPos val="b"/>
        <c:title>
          <c:tx>
            <c:rich>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r>
                  <a:rPr lang="en-US"/>
                  <a:t>Area</a:t>
                </a:r>
                <a:r>
                  <a:rPr lang="en-US" baseline="0"/>
                  <a:t> Median Income Bracket</a:t>
                </a:r>
              </a:p>
            </c:rich>
          </c:tx>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crossAx val="408434584"/>
        <c:crosses val="autoZero"/>
        <c:auto val="1"/>
        <c:lblAlgn val="ctr"/>
        <c:lblOffset val="100"/>
        <c:noMultiLvlLbl val="0"/>
      </c:catAx>
      <c:valAx>
        <c:axId val="408434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r>
                  <a:rPr lang="en-US"/>
                  <a:t>Projected Units</a:t>
                </a:r>
              </a:p>
            </c:rich>
          </c:tx>
          <c:overlay val="0"/>
          <c:spPr>
            <a:noFill/>
            <a:ln>
              <a:noFill/>
            </a:ln>
            <a:effectLst/>
          </c:spPr>
          <c:txPr>
            <a:bodyPr rot="-54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crossAx val="408434976"/>
        <c:crosses val="autoZero"/>
        <c:crossBetween val="between"/>
      </c:valAx>
      <c:valAx>
        <c:axId val="408434192"/>
        <c:scaling>
          <c:orientation val="minMax"/>
          <c:max val="120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crossAx val="523980216"/>
        <c:crosses val="max"/>
        <c:crossBetween val="between"/>
      </c:valAx>
      <c:catAx>
        <c:axId val="523980216"/>
        <c:scaling>
          <c:orientation val="minMax"/>
        </c:scaling>
        <c:delete val="1"/>
        <c:axPos val="b"/>
        <c:numFmt formatCode="General" sourceLinked="1"/>
        <c:majorTickMark val="out"/>
        <c:minorTickMark val="none"/>
        <c:tickLblPos val="nextTo"/>
        <c:crossAx val="40843419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20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12700</xdr:colOff>
      <xdr:row>97</xdr:row>
      <xdr:rowOff>0</xdr:rowOff>
    </xdr:from>
    <xdr:to>
      <xdr:col>8</xdr:col>
      <xdr:colOff>304800</xdr:colOff>
      <xdr:row>124</xdr:row>
      <xdr:rowOff>127000</xdr:rowOff>
    </xdr:to>
    <xdr:graphicFrame macro="">
      <xdr:nvGraphicFramePr>
        <xdr:cNvPr id="5" name="Chart 4">
          <a:extLst>
            <a:ext uri="{FF2B5EF4-FFF2-40B4-BE49-F238E27FC236}">
              <a16:creationId xmlns:a16="http://schemas.microsoft.com/office/drawing/2014/main" id="{1E68BED5-E165-4749-AC4C-45A2C48E62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908808</xdr:colOff>
      <xdr:row>81</xdr:row>
      <xdr:rowOff>69907</xdr:rowOff>
    </xdr:from>
    <xdr:to>
      <xdr:col>29</xdr:col>
      <xdr:colOff>23302</xdr:colOff>
      <xdr:row>118</xdr:row>
      <xdr:rowOff>81559</xdr:rowOff>
    </xdr:to>
    <xdr:graphicFrame macro="">
      <xdr:nvGraphicFramePr>
        <xdr:cNvPr id="9" name="Chart 8">
          <a:extLst>
            <a:ext uri="{FF2B5EF4-FFF2-40B4-BE49-F238E27FC236}">
              <a16:creationId xmlns:a16="http://schemas.microsoft.com/office/drawing/2014/main" id="{C8591438-C44D-CD48-9D8D-5531B0DDFA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9</xdr:row>
      <xdr:rowOff>5045</xdr:rowOff>
    </xdr:to>
    <xdr:sp macro="" textlink="">
      <xdr:nvSpPr>
        <xdr:cNvPr id="2" name="EsriDoNotEdit">
          <a:extLst>
            <a:ext uri="{FF2B5EF4-FFF2-40B4-BE49-F238E27FC236}">
              <a16:creationId xmlns:a16="http://schemas.microsoft.com/office/drawing/2014/main" id="{00000000-0008-0000-04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790804</xdr:colOff>
      <xdr:row>118</xdr:row>
      <xdr:rowOff>35873</xdr:rowOff>
    </xdr:from>
    <xdr:to>
      <xdr:col>23</xdr:col>
      <xdr:colOff>824844</xdr:colOff>
      <xdr:row>142</xdr:row>
      <xdr:rowOff>39278</xdr:rowOff>
    </xdr:to>
    <xdr:graphicFrame macro="">
      <xdr:nvGraphicFramePr>
        <xdr:cNvPr id="10" name="Chart 9">
          <a:extLst>
            <a:ext uri="{FF2B5EF4-FFF2-40B4-BE49-F238E27FC236}">
              <a16:creationId xmlns:a16="http://schemas.microsoft.com/office/drawing/2014/main" id="{6F7331E1-FE44-F649-947D-0E552A5058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87</xdr:row>
      <xdr:rowOff>183298</xdr:rowOff>
    </xdr:from>
    <xdr:to>
      <xdr:col>16</xdr:col>
      <xdr:colOff>472651</xdr:colOff>
      <xdr:row>110</xdr:row>
      <xdr:rowOff>173611</xdr:rowOff>
    </xdr:to>
    <xdr:graphicFrame macro="">
      <xdr:nvGraphicFramePr>
        <xdr:cNvPr id="4" name="Chart 3">
          <a:extLst>
            <a:ext uri="{FF2B5EF4-FFF2-40B4-BE49-F238E27FC236}">
              <a16:creationId xmlns:a16="http://schemas.microsoft.com/office/drawing/2014/main" id="{1C8F982E-22DF-D844-87F7-DA2299182C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528948</xdr:colOff>
      <xdr:row>118</xdr:row>
      <xdr:rowOff>22781</xdr:rowOff>
    </xdr:from>
    <xdr:to>
      <xdr:col>14</xdr:col>
      <xdr:colOff>845793</xdr:colOff>
      <xdr:row>131</xdr:row>
      <xdr:rowOff>186702</xdr:rowOff>
    </xdr:to>
    <xdr:graphicFrame macro="">
      <xdr:nvGraphicFramePr>
        <xdr:cNvPr id="6" name="Chart 5">
          <a:extLst>
            <a:ext uri="{FF2B5EF4-FFF2-40B4-BE49-F238E27FC236}">
              <a16:creationId xmlns:a16="http://schemas.microsoft.com/office/drawing/2014/main" id="{372E52F6-CF8C-344A-A03C-0F934942B7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515856</xdr:colOff>
      <xdr:row>130</xdr:row>
      <xdr:rowOff>9688</xdr:rowOff>
    </xdr:from>
    <xdr:to>
      <xdr:col>14</xdr:col>
      <xdr:colOff>832701</xdr:colOff>
      <xdr:row>143</xdr:row>
      <xdr:rowOff>199795</xdr:rowOff>
    </xdr:to>
    <xdr:graphicFrame macro="">
      <xdr:nvGraphicFramePr>
        <xdr:cNvPr id="11" name="Chart 10">
          <a:extLst>
            <a:ext uri="{FF2B5EF4-FFF2-40B4-BE49-F238E27FC236}">
              <a16:creationId xmlns:a16="http://schemas.microsoft.com/office/drawing/2014/main" id="{39AE89C3-38EC-6B49-B7B3-38A4426E3B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51</xdr:col>
      <xdr:colOff>1</xdr:colOff>
      <xdr:row>11</xdr:row>
      <xdr:rowOff>190961</xdr:rowOff>
    </xdr:from>
    <xdr:to>
      <xdr:col>61</xdr:col>
      <xdr:colOff>0</xdr:colOff>
      <xdr:row>55</xdr:row>
      <xdr:rowOff>181429</xdr:rowOff>
    </xdr:to>
    <xdr:graphicFrame macro="">
      <xdr:nvGraphicFramePr>
        <xdr:cNvPr id="2" name="Chart 1">
          <a:extLst>
            <a:ext uri="{FF2B5EF4-FFF2-40B4-BE49-F238E27FC236}">
              <a16:creationId xmlns:a16="http://schemas.microsoft.com/office/drawing/2014/main" id="{585C6563-4D20-044B-A00C-C57BA80C25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40</xdr:col>
      <xdr:colOff>635000</xdr:colOff>
      <xdr:row>14</xdr:row>
      <xdr:rowOff>54428</xdr:rowOff>
    </xdr:from>
    <xdr:to>
      <xdr:col>53</xdr:col>
      <xdr:colOff>544108</xdr:colOff>
      <xdr:row>52</xdr:row>
      <xdr:rowOff>95250</xdr:rowOff>
    </xdr:to>
    <xdr:graphicFrame macro="">
      <xdr:nvGraphicFramePr>
        <xdr:cNvPr id="3" name="Chart 2">
          <a:extLst>
            <a:ext uri="{FF2B5EF4-FFF2-40B4-BE49-F238E27FC236}">
              <a16:creationId xmlns:a16="http://schemas.microsoft.com/office/drawing/2014/main" id="{C188E38C-9B72-FA4F-9895-24C23E404F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xdr:col>
      <xdr:colOff>203200</xdr:colOff>
      <xdr:row>37</xdr:row>
      <xdr:rowOff>93132</xdr:rowOff>
    </xdr:from>
    <xdr:to>
      <xdr:col>39</xdr:col>
      <xdr:colOff>237066</xdr:colOff>
      <xdr:row>70</xdr:row>
      <xdr:rowOff>50800</xdr:rowOff>
    </xdr:to>
    <xdr:graphicFrame macro="">
      <xdr:nvGraphicFramePr>
        <xdr:cNvPr id="9" name="Chart 8">
          <a:extLst>
            <a:ext uri="{FF2B5EF4-FFF2-40B4-BE49-F238E27FC236}">
              <a16:creationId xmlns:a16="http://schemas.microsoft.com/office/drawing/2014/main" id="{2F837FE6-B200-4E4F-8B0A-59F69727FA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30</xdr:col>
      <xdr:colOff>1568450</xdr:colOff>
      <xdr:row>7</xdr:row>
      <xdr:rowOff>0</xdr:rowOff>
    </xdr:from>
    <xdr:to>
      <xdr:col>40</xdr:col>
      <xdr:colOff>0</xdr:colOff>
      <xdr:row>30</xdr:row>
      <xdr:rowOff>0</xdr:rowOff>
    </xdr:to>
    <xdr:graphicFrame macro="">
      <xdr:nvGraphicFramePr>
        <xdr:cNvPr id="2" name="Chart 1">
          <a:extLst>
            <a:ext uri="{FF2B5EF4-FFF2-40B4-BE49-F238E27FC236}">
              <a16:creationId xmlns:a16="http://schemas.microsoft.com/office/drawing/2014/main" id="{5B18048D-0C9C-F545-8DCE-0DE82CA313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L73:O76" totalsRowShown="0" headerRowDxfId="4" headerRowCellStyle="Currency">
  <autoFilter ref="L73:O76"/>
  <tableColumns count="4">
    <tableColumn id="1" name="Column1" dataDxfId="3" dataCellStyle="Currency"/>
    <tableColumn id="2" name="2017 Jobs" dataDxfId="2" dataCellStyle="Comma"/>
    <tableColumn id="3" name="Increase from 2014" dataDxfId="1" dataCellStyle="Comma"/>
    <tableColumn id="4" name="Increase from 20142" dataDxfId="0" dataCellStyle="Perce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n.gov/deed/data/data-tools/qcew/"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nces.ed.gov/ipeds/use-the-data"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W89"/>
  <sheetViews>
    <sheetView tabSelected="1" topLeftCell="A30" zoomScale="68" zoomScaleNormal="70" workbookViewId="0">
      <pane xSplit="1" topLeftCell="B1" activePane="topRight" state="frozen"/>
      <selection pane="topRight" activeCell="H23" sqref="H23"/>
    </sheetView>
  </sheetViews>
  <sheetFormatPr defaultColWidth="10.85546875" defaultRowHeight="15"/>
  <cols>
    <col min="1" max="1" width="40" customWidth="1"/>
    <col min="2" max="2" width="15.85546875" style="11" customWidth="1"/>
    <col min="3" max="22" width="15.85546875" customWidth="1"/>
  </cols>
  <sheetData>
    <row r="1" spans="1:22">
      <c r="A1" s="848" t="s">
        <v>320</v>
      </c>
      <c r="B1" s="848"/>
      <c r="C1" s="848"/>
      <c r="D1" s="848"/>
      <c r="E1" s="848"/>
    </row>
    <row r="2" spans="1:22">
      <c r="A2" s="37" t="s">
        <v>321</v>
      </c>
    </row>
    <row r="3" spans="1:22">
      <c r="A3" t="s">
        <v>305</v>
      </c>
    </row>
    <row r="4" spans="1:22" ht="15.75" thickBot="1"/>
    <row r="5" spans="1:22" ht="15.75">
      <c r="A5" s="855" t="s">
        <v>307</v>
      </c>
      <c r="B5" s="852">
        <v>2012</v>
      </c>
      <c r="C5" s="853"/>
      <c r="D5" s="854"/>
      <c r="E5" s="849">
        <v>2013</v>
      </c>
      <c r="F5" s="850"/>
      <c r="G5" s="851"/>
      <c r="H5" s="852">
        <v>2014</v>
      </c>
      <c r="I5" s="853"/>
      <c r="J5" s="854"/>
      <c r="K5" s="849">
        <v>2015</v>
      </c>
      <c r="L5" s="850"/>
      <c r="M5" s="851"/>
      <c r="N5" s="852">
        <v>2016</v>
      </c>
      <c r="O5" s="853"/>
      <c r="P5" s="854"/>
      <c r="Q5" s="849">
        <v>2017</v>
      </c>
      <c r="R5" s="850"/>
      <c r="S5" s="851"/>
      <c r="T5" s="852">
        <v>2018</v>
      </c>
      <c r="U5" s="853"/>
      <c r="V5" s="854"/>
    </row>
    <row r="6" spans="1:22" ht="32.25" thickBot="1">
      <c r="A6" s="856"/>
      <c r="B6" s="509" t="s">
        <v>302</v>
      </c>
      <c r="C6" s="478" t="s">
        <v>303</v>
      </c>
      <c r="D6" s="479" t="s">
        <v>304</v>
      </c>
      <c r="E6" s="480" t="s">
        <v>302</v>
      </c>
      <c r="F6" s="481" t="s">
        <v>303</v>
      </c>
      <c r="G6" s="482" t="s">
        <v>304</v>
      </c>
      <c r="H6" s="477" t="s">
        <v>302</v>
      </c>
      <c r="I6" s="478" t="s">
        <v>303</v>
      </c>
      <c r="J6" s="479" t="s">
        <v>304</v>
      </c>
      <c r="K6" s="480" t="s">
        <v>302</v>
      </c>
      <c r="L6" s="481" t="s">
        <v>303</v>
      </c>
      <c r="M6" s="482" t="s">
        <v>304</v>
      </c>
      <c r="N6" s="477" t="s">
        <v>302</v>
      </c>
      <c r="O6" s="478" t="s">
        <v>303</v>
      </c>
      <c r="P6" s="479" t="s">
        <v>304</v>
      </c>
      <c r="Q6" s="480" t="s">
        <v>302</v>
      </c>
      <c r="R6" s="481" t="s">
        <v>303</v>
      </c>
      <c r="S6" s="482" t="s">
        <v>304</v>
      </c>
      <c r="T6" s="477" t="s">
        <v>302</v>
      </c>
      <c r="U6" s="478" t="s">
        <v>303</v>
      </c>
      <c r="V6" s="479" t="s">
        <v>304</v>
      </c>
    </row>
    <row r="7" spans="1:22">
      <c r="A7" s="483" t="s">
        <v>308</v>
      </c>
      <c r="B7" s="488">
        <v>2644935</v>
      </c>
      <c r="C7" s="484">
        <v>949</v>
      </c>
      <c r="D7" s="490">
        <f t="shared" ref="D7:D18" si="0">(C7)*(52.143)</f>
        <v>49483.707000000002</v>
      </c>
      <c r="E7" s="485">
        <v>2692170</v>
      </c>
      <c r="F7" s="486">
        <v>964</v>
      </c>
      <c r="G7" s="487">
        <f t="shared" ref="G7:G18" si="1">(F7)*(52.143)</f>
        <v>50265.851999999999</v>
      </c>
      <c r="H7" s="488">
        <v>2729613</v>
      </c>
      <c r="I7" s="489">
        <v>992</v>
      </c>
      <c r="J7" s="490">
        <f t="shared" ref="J7:J18" si="2">(I7)*(52.143)</f>
        <v>51725.856</v>
      </c>
      <c r="K7" s="485">
        <v>2774426</v>
      </c>
      <c r="L7" s="486">
        <v>1030</v>
      </c>
      <c r="M7" s="487">
        <f t="shared" ref="M7:M18" si="3">(L7)*(52.143)</f>
        <v>53707.29</v>
      </c>
      <c r="N7" s="488">
        <v>2814002</v>
      </c>
      <c r="O7" s="489">
        <v>1044</v>
      </c>
      <c r="P7" s="490">
        <f t="shared" ref="P7:P18" si="4">(O7)*(52.143)</f>
        <v>54437.292000000001</v>
      </c>
      <c r="Q7" s="485">
        <v>2853730</v>
      </c>
      <c r="R7" s="486">
        <v>1080</v>
      </c>
      <c r="S7" s="487">
        <f t="shared" ref="S7:S18" si="5">(R7)*(52.143)</f>
        <v>56314.44</v>
      </c>
      <c r="T7" s="791">
        <v>2881172</v>
      </c>
      <c r="U7" s="792">
        <v>1115</v>
      </c>
      <c r="V7" s="490">
        <f t="shared" ref="V7:V18" si="6">(U7)*(52.143)</f>
        <v>58139.445</v>
      </c>
    </row>
    <row r="8" spans="1:22">
      <c r="A8" s="491" t="s">
        <v>309</v>
      </c>
      <c r="B8" s="496">
        <v>26386</v>
      </c>
      <c r="C8" s="492">
        <v>835</v>
      </c>
      <c r="D8" s="498">
        <f t="shared" si="0"/>
        <v>43539.404999999999</v>
      </c>
      <c r="E8" s="493">
        <v>26828</v>
      </c>
      <c r="F8" s="494">
        <v>851</v>
      </c>
      <c r="G8" s="495">
        <f t="shared" si="1"/>
        <v>44373.692999999999</v>
      </c>
      <c r="H8" s="496">
        <v>27041</v>
      </c>
      <c r="I8" s="497">
        <v>887</v>
      </c>
      <c r="J8" s="498">
        <f t="shared" si="2"/>
        <v>46250.841</v>
      </c>
      <c r="K8" s="493">
        <v>27572</v>
      </c>
      <c r="L8" s="494">
        <v>876</v>
      </c>
      <c r="M8" s="495">
        <f t="shared" si="3"/>
        <v>45677.268000000004</v>
      </c>
      <c r="N8" s="496">
        <v>26924</v>
      </c>
      <c r="O8" s="497">
        <v>866</v>
      </c>
      <c r="P8" s="498">
        <f t="shared" si="4"/>
        <v>45155.838000000003</v>
      </c>
      <c r="Q8" s="493">
        <v>27911</v>
      </c>
      <c r="R8" s="494">
        <v>917</v>
      </c>
      <c r="S8" s="495">
        <f t="shared" si="5"/>
        <v>47815.131000000001</v>
      </c>
      <c r="T8" s="786">
        <v>27741</v>
      </c>
      <c r="U8" s="788">
        <v>973</v>
      </c>
      <c r="V8" s="498">
        <f t="shared" si="6"/>
        <v>50735.139000000003</v>
      </c>
    </row>
    <row r="9" spans="1:22">
      <c r="A9" s="491" t="s">
        <v>310</v>
      </c>
      <c r="B9" s="496">
        <v>101595</v>
      </c>
      <c r="C9" s="492">
        <v>1067</v>
      </c>
      <c r="D9" s="498">
        <f t="shared" si="0"/>
        <v>55636.580999999998</v>
      </c>
      <c r="E9" s="493">
        <v>107364</v>
      </c>
      <c r="F9" s="494">
        <v>1098</v>
      </c>
      <c r="G9" s="495">
        <f t="shared" si="1"/>
        <v>57253.014000000003</v>
      </c>
      <c r="H9" s="496">
        <v>114180</v>
      </c>
      <c r="I9" s="497">
        <v>1130</v>
      </c>
      <c r="J9" s="498">
        <f t="shared" si="2"/>
        <v>58921.590000000004</v>
      </c>
      <c r="K9" s="493">
        <v>121665</v>
      </c>
      <c r="L9" s="494">
        <v>1178</v>
      </c>
      <c r="M9" s="495">
        <f t="shared" si="3"/>
        <v>61424.453999999998</v>
      </c>
      <c r="N9" s="496">
        <v>122802</v>
      </c>
      <c r="O9" s="497">
        <v>1212</v>
      </c>
      <c r="P9" s="498">
        <f t="shared" si="4"/>
        <v>63197.315999999999</v>
      </c>
      <c r="Q9" s="493">
        <v>126601</v>
      </c>
      <c r="R9" s="494">
        <v>1256</v>
      </c>
      <c r="S9" s="495">
        <f t="shared" si="5"/>
        <v>65491.608</v>
      </c>
      <c r="T9" s="786">
        <v>128724</v>
      </c>
      <c r="U9" s="788">
        <v>1289</v>
      </c>
      <c r="V9" s="498">
        <f t="shared" si="6"/>
        <v>67212.327000000005</v>
      </c>
    </row>
    <row r="10" spans="1:22">
      <c r="A10" s="491" t="s">
        <v>311</v>
      </c>
      <c r="B10" s="496">
        <v>305611</v>
      </c>
      <c r="C10" s="492">
        <v>1130</v>
      </c>
      <c r="D10" s="498">
        <f t="shared" si="0"/>
        <v>58921.590000000004</v>
      </c>
      <c r="E10" s="493">
        <v>307224</v>
      </c>
      <c r="F10" s="494">
        <v>1145</v>
      </c>
      <c r="G10" s="495">
        <f t="shared" si="1"/>
        <v>59703.735000000001</v>
      </c>
      <c r="H10" s="496">
        <v>311826</v>
      </c>
      <c r="I10" s="497">
        <v>1174</v>
      </c>
      <c r="J10" s="498">
        <f t="shared" si="2"/>
        <v>61215.881999999998</v>
      </c>
      <c r="K10" s="493">
        <v>317312</v>
      </c>
      <c r="L10" s="494">
        <v>1218</v>
      </c>
      <c r="M10" s="495">
        <f t="shared" si="3"/>
        <v>63510.173999999999</v>
      </c>
      <c r="N10" s="496">
        <v>317361</v>
      </c>
      <c r="O10" s="497">
        <v>1226</v>
      </c>
      <c r="P10" s="498">
        <f t="shared" si="4"/>
        <v>63927.317999999999</v>
      </c>
      <c r="Q10" s="493">
        <v>319009</v>
      </c>
      <c r="R10" s="494">
        <v>1264</v>
      </c>
      <c r="S10" s="495">
        <f t="shared" si="5"/>
        <v>65908.752000000008</v>
      </c>
      <c r="T10" s="786">
        <v>321854</v>
      </c>
      <c r="U10" s="788">
        <v>1290</v>
      </c>
      <c r="V10" s="498">
        <f t="shared" si="6"/>
        <v>67264.47</v>
      </c>
    </row>
    <row r="11" spans="1:22">
      <c r="A11" s="491" t="s">
        <v>312</v>
      </c>
      <c r="B11" s="496">
        <v>518682</v>
      </c>
      <c r="C11" s="492">
        <v>832</v>
      </c>
      <c r="D11" s="498">
        <f t="shared" si="0"/>
        <v>43382.976000000002</v>
      </c>
      <c r="E11" s="493">
        <v>525239</v>
      </c>
      <c r="F11" s="494">
        <v>849</v>
      </c>
      <c r="G11" s="495">
        <f t="shared" si="1"/>
        <v>44269.406999999999</v>
      </c>
      <c r="H11" s="496">
        <v>531583</v>
      </c>
      <c r="I11" s="497">
        <v>871</v>
      </c>
      <c r="J11" s="498">
        <f t="shared" si="2"/>
        <v>45416.553</v>
      </c>
      <c r="K11" s="493">
        <v>538998</v>
      </c>
      <c r="L11" s="494">
        <v>897</v>
      </c>
      <c r="M11" s="495">
        <f t="shared" si="3"/>
        <v>46772.271000000001</v>
      </c>
      <c r="N11" s="496">
        <v>546573</v>
      </c>
      <c r="O11" s="497">
        <v>903</v>
      </c>
      <c r="P11" s="498">
        <f t="shared" si="4"/>
        <v>47085.129000000001</v>
      </c>
      <c r="Q11" s="493">
        <v>552027</v>
      </c>
      <c r="R11" s="494">
        <v>935</v>
      </c>
      <c r="S11" s="495">
        <f t="shared" si="5"/>
        <v>48753.705000000002</v>
      </c>
      <c r="T11" s="786">
        <v>551687</v>
      </c>
      <c r="U11" s="788">
        <v>961</v>
      </c>
      <c r="V11" s="498">
        <f t="shared" si="6"/>
        <v>50109.423000000003</v>
      </c>
    </row>
    <row r="12" spans="1:22">
      <c r="A12" s="491" t="s">
        <v>313</v>
      </c>
      <c r="B12" s="496">
        <v>57275</v>
      </c>
      <c r="C12" s="492">
        <v>1220</v>
      </c>
      <c r="D12" s="498">
        <f t="shared" si="0"/>
        <v>63614.46</v>
      </c>
      <c r="E12" s="493">
        <v>57033</v>
      </c>
      <c r="F12" s="494">
        <v>1253</v>
      </c>
      <c r="G12" s="495">
        <f t="shared" si="1"/>
        <v>65335.179000000004</v>
      </c>
      <c r="H12" s="496">
        <v>56353</v>
      </c>
      <c r="I12" s="497">
        <v>1303</v>
      </c>
      <c r="J12" s="498">
        <f t="shared" si="2"/>
        <v>67942.328999999998</v>
      </c>
      <c r="K12" s="493"/>
      <c r="L12" s="494"/>
      <c r="M12" s="495">
        <f t="shared" si="3"/>
        <v>0</v>
      </c>
      <c r="N12" s="496"/>
      <c r="O12" s="497"/>
      <c r="P12" s="498">
        <f t="shared" si="4"/>
        <v>0</v>
      </c>
      <c r="Q12" s="493">
        <v>54018</v>
      </c>
      <c r="R12" s="494">
        <v>1414</v>
      </c>
      <c r="S12" s="495">
        <f t="shared" si="5"/>
        <v>73730.202000000005</v>
      </c>
      <c r="T12" s="786">
        <v>52811</v>
      </c>
      <c r="U12" s="788">
        <v>1478</v>
      </c>
      <c r="V12" s="498">
        <f t="shared" si="6"/>
        <v>77067.354000000007</v>
      </c>
    </row>
    <row r="13" spans="1:22">
      <c r="A13" s="491" t="s">
        <v>314</v>
      </c>
      <c r="B13" s="496">
        <v>175981</v>
      </c>
      <c r="C13" s="492">
        <v>1565</v>
      </c>
      <c r="D13" s="498">
        <f t="shared" si="0"/>
        <v>81603.794999999998</v>
      </c>
      <c r="E13" s="493">
        <v>179665</v>
      </c>
      <c r="F13" s="494">
        <v>1561</v>
      </c>
      <c r="G13" s="495">
        <f t="shared" si="1"/>
        <v>81395.222999999998</v>
      </c>
      <c r="H13" s="496">
        <v>176010</v>
      </c>
      <c r="I13" s="497">
        <v>1627</v>
      </c>
      <c r="J13" s="498">
        <f t="shared" si="2"/>
        <v>84836.661000000007</v>
      </c>
      <c r="K13" s="493">
        <v>179049</v>
      </c>
      <c r="L13" s="494">
        <v>1705</v>
      </c>
      <c r="M13" s="495">
        <f t="shared" si="3"/>
        <v>88903.815000000002</v>
      </c>
      <c r="N13" s="496">
        <v>173563</v>
      </c>
      <c r="O13" s="497">
        <v>1672</v>
      </c>
      <c r="P13" s="498">
        <f t="shared" si="4"/>
        <v>87183.096000000005</v>
      </c>
      <c r="Q13" s="493">
        <v>177011</v>
      </c>
      <c r="R13" s="494">
        <v>1749</v>
      </c>
      <c r="S13" s="495">
        <f t="shared" si="5"/>
        <v>91198.107000000004</v>
      </c>
      <c r="T13" s="786">
        <v>179352</v>
      </c>
      <c r="U13" s="788">
        <v>1838</v>
      </c>
      <c r="V13" s="498">
        <f t="shared" si="6"/>
        <v>95838.834000000003</v>
      </c>
    </row>
    <row r="14" spans="1:22">
      <c r="A14" s="491" t="s">
        <v>315</v>
      </c>
      <c r="B14" s="496">
        <v>339431</v>
      </c>
      <c r="C14" s="492">
        <v>1308</v>
      </c>
      <c r="D14" s="498">
        <f t="shared" si="0"/>
        <v>68203.043999999994</v>
      </c>
      <c r="E14" s="493">
        <v>348399</v>
      </c>
      <c r="F14" s="494">
        <v>1331</v>
      </c>
      <c r="G14" s="495">
        <f t="shared" si="1"/>
        <v>69402.332999999999</v>
      </c>
      <c r="H14" s="496">
        <v>356009</v>
      </c>
      <c r="I14" s="497">
        <v>1381</v>
      </c>
      <c r="J14" s="498">
        <f t="shared" si="2"/>
        <v>72009.483000000007</v>
      </c>
      <c r="K14" s="493">
        <v>359797</v>
      </c>
      <c r="L14" s="494">
        <v>1437</v>
      </c>
      <c r="M14" s="495">
        <f t="shared" si="3"/>
        <v>74929.490999999995</v>
      </c>
      <c r="N14" s="496">
        <v>375031</v>
      </c>
      <c r="O14" s="497">
        <v>1484</v>
      </c>
      <c r="P14" s="498">
        <f t="shared" si="4"/>
        <v>77380.212</v>
      </c>
      <c r="Q14" s="493">
        <v>375223</v>
      </c>
      <c r="R14" s="494">
        <v>1553</v>
      </c>
      <c r="S14" s="495">
        <f t="shared" si="5"/>
        <v>80978.078999999998</v>
      </c>
      <c r="T14" s="786">
        <v>379969</v>
      </c>
      <c r="U14" s="788">
        <v>1586</v>
      </c>
      <c r="V14" s="498">
        <f t="shared" si="6"/>
        <v>82698.797999999995</v>
      </c>
    </row>
    <row r="15" spans="1:22">
      <c r="A15" s="491" t="s">
        <v>316</v>
      </c>
      <c r="B15" s="496">
        <v>651479</v>
      </c>
      <c r="C15" s="492">
        <v>861</v>
      </c>
      <c r="D15" s="498">
        <f t="shared" si="0"/>
        <v>44895.123</v>
      </c>
      <c r="E15" s="493">
        <v>665168</v>
      </c>
      <c r="F15" s="494">
        <v>869</v>
      </c>
      <c r="G15" s="495">
        <f t="shared" si="1"/>
        <v>45312.267</v>
      </c>
      <c r="H15" s="496">
        <v>673446</v>
      </c>
      <c r="I15" s="497">
        <v>892</v>
      </c>
      <c r="J15" s="498">
        <f t="shared" si="2"/>
        <v>46511.556000000004</v>
      </c>
      <c r="K15" s="493">
        <v>684699</v>
      </c>
      <c r="L15" s="494">
        <v>923</v>
      </c>
      <c r="M15" s="495">
        <f t="shared" si="3"/>
        <v>48127.989000000001</v>
      </c>
      <c r="N15" s="496">
        <v>700150</v>
      </c>
      <c r="O15" s="497">
        <v>943</v>
      </c>
      <c r="P15" s="498">
        <f t="shared" si="4"/>
        <v>49170.849000000002</v>
      </c>
      <c r="Q15" s="493">
        <v>716044</v>
      </c>
      <c r="R15" s="494">
        <v>962</v>
      </c>
      <c r="S15" s="495">
        <f t="shared" si="5"/>
        <v>50161.565999999999</v>
      </c>
      <c r="T15" s="786">
        <v>727600</v>
      </c>
      <c r="U15" s="788">
        <v>1001</v>
      </c>
      <c r="V15" s="498">
        <f t="shared" si="6"/>
        <v>52195.143000000004</v>
      </c>
    </row>
    <row r="16" spans="1:22">
      <c r="A16" s="491" t="s">
        <v>317</v>
      </c>
      <c r="B16" s="496">
        <v>261491</v>
      </c>
      <c r="C16" s="492">
        <v>350</v>
      </c>
      <c r="D16" s="498">
        <f t="shared" si="0"/>
        <v>18250.05</v>
      </c>
      <c r="E16" s="493">
        <v>265991</v>
      </c>
      <c r="F16" s="494">
        <v>356</v>
      </c>
      <c r="G16" s="495">
        <f t="shared" si="1"/>
        <v>18562.907999999999</v>
      </c>
      <c r="H16" s="496">
        <v>269441</v>
      </c>
      <c r="I16" s="497">
        <v>367</v>
      </c>
      <c r="J16" s="498">
        <f t="shared" si="2"/>
        <v>19136.481</v>
      </c>
      <c r="K16" s="493">
        <v>273233</v>
      </c>
      <c r="L16" s="494">
        <v>391</v>
      </c>
      <c r="M16" s="495">
        <f t="shared" si="3"/>
        <v>20387.913</v>
      </c>
      <c r="N16" s="496">
        <v>278975</v>
      </c>
      <c r="O16" s="497">
        <v>404</v>
      </c>
      <c r="P16" s="498">
        <f t="shared" si="4"/>
        <v>21065.772000000001</v>
      </c>
      <c r="Q16" s="493">
        <v>283676</v>
      </c>
      <c r="R16" s="494">
        <v>423</v>
      </c>
      <c r="S16" s="495">
        <f t="shared" si="5"/>
        <v>22056.489000000001</v>
      </c>
      <c r="T16" s="786">
        <v>286837</v>
      </c>
      <c r="U16" s="788">
        <v>443</v>
      </c>
      <c r="V16" s="498">
        <f t="shared" si="6"/>
        <v>23099.349000000002</v>
      </c>
    </row>
    <row r="17" spans="1:22">
      <c r="A17" s="491" t="s">
        <v>318</v>
      </c>
      <c r="B17" s="496">
        <v>84607</v>
      </c>
      <c r="C17" s="492">
        <v>539</v>
      </c>
      <c r="D17" s="498">
        <f t="shared" si="0"/>
        <v>28105.077000000001</v>
      </c>
      <c r="E17" s="493">
        <v>85433</v>
      </c>
      <c r="F17" s="494">
        <v>556</v>
      </c>
      <c r="G17" s="495">
        <f t="shared" si="1"/>
        <v>28991.508000000002</v>
      </c>
      <c r="H17" s="496">
        <v>87387</v>
      </c>
      <c r="I17" s="497">
        <v>576</v>
      </c>
      <c r="J17" s="498">
        <f t="shared" si="2"/>
        <v>30034.368000000002</v>
      </c>
      <c r="K17" s="493">
        <v>88559</v>
      </c>
      <c r="L17" s="494">
        <v>598</v>
      </c>
      <c r="M17" s="495">
        <f t="shared" si="3"/>
        <v>31181.513999999999</v>
      </c>
      <c r="N17" s="496">
        <v>89463</v>
      </c>
      <c r="O17" s="497">
        <v>606</v>
      </c>
      <c r="P17" s="498">
        <f t="shared" si="4"/>
        <v>31598.657999999999</v>
      </c>
      <c r="Q17" s="493">
        <v>90182</v>
      </c>
      <c r="R17" s="494">
        <v>640</v>
      </c>
      <c r="S17" s="495">
        <f t="shared" si="5"/>
        <v>33371.520000000004</v>
      </c>
      <c r="T17" s="786">
        <v>90178</v>
      </c>
      <c r="U17" s="788">
        <v>658</v>
      </c>
      <c r="V17" s="498">
        <f t="shared" si="6"/>
        <v>34310.093999999997</v>
      </c>
    </row>
    <row r="18" spans="1:22" ht="15.75" thickBot="1">
      <c r="A18" s="500" t="s">
        <v>319</v>
      </c>
      <c r="B18" s="505">
        <v>122373</v>
      </c>
      <c r="C18" s="501">
        <v>941</v>
      </c>
      <c r="D18" s="507">
        <f t="shared" si="0"/>
        <v>49066.563000000002</v>
      </c>
      <c r="E18" s="502">
        <v>123822</v>
      </c>
      <c r="F18" s="503">
        <v>961</v>
      </c>
      <c r="G18" s="504">
        <f t="shared" si="1"/>
        <v>50109.423000000003</v>
      </c>
      <c r="H18" s="505">
        <v>126335</v>
      </c>
      <c r="I18" s="506">
        <v>985</v>
      </c>
      <c r="J18" s="507">
        <f t="shared" si="2"/>
        <v>51360.855000000003</v>
      </c>
      <c r="K18" s="502">
        <v>128119</v>
      </c>
      <c r="L18" s="503">
        <v>1023</v>
      </c>
      <c r="M18" s="504">
        <f t="shared" si="3"/>
        <v>53342.289000000004</v>
      </c>
      <c r="N18" s="505">
        <v>129142</v>
      </c>
      <c r="O18" s="506">
        <v>1054</v>
      </c>
      <c r="P18" s="507">
        <f t="shared" si="4"/>
        <v>54958.722000000002</v>
      </c>
      <c r="Q18" s="502">
        <v>132026</v>
      </c>
      <c r="R18" s="503">
        <v>1082</v>
      </c>
      <c r="S18" s="504">
        <f t="shared" si="5"/>
        <v>56418.726000000002</v>
      </c>
      <c r="T18" s="787">
        <v>134418</v>
      </c>
      <c r="U18" s="790">
        <v>1118</v>
      </c>
      <c r="V18" s="507">
        <f t="shared" si="6"/>
        <v>58295.874000000003</v>
      </c>
    </row>
    <row r="19" spans="1:22" ht="15.75" thickBot="1">
      <c r="Q19" s="510"/>
      <c r="R19" s="793"/>
      <c r="U19" s="789"/>
    </row>
    <row r="20" spans="1:22" ht="30.95" customHeight="1" thickBot="1">
      <c r="B20" s="516" t="s">
        <v>324</v>
      </c>
      <c r="C20" s="517" t="s">
        <v>322</v>
      </c>
      <c r="D20" s="518" t="s">
        <v>323</v>
      </c>
    </row>
    <row r="21" spans="1:22">
      <c r="B21"/>
      <c r="C21" s="522">
        <f>Q7-B7</f>
        <v>208795</v>
      </c>
      <c r="D21" s="521">
        <f>C21/B7</f>
        <v>7.894144846659748E-2</v>
      </c>
    </row>
    <row r="22" spans="1:22" ht="15.75" thickBot="1">
      <c r="B22"/>
      <c r="C22" s="11"/>
    </row>
    <row r="23" spans="1:22" ht="30.75" thickBot="1">
      <c r="B23" s="516" t="s">
        <v>326</v>
      </c>
      <c r="C23" s="517" t="s">
        <v>322</v>
      </c>
      <c r="D23" s="518" t="s">
        <v>323</v>
      </c>
    </row>
    <row r="24" spans="1:22">
      <c r="B24"/>
      <c r="C24" s="520">
        <f>S7-D7</f>
        <v>6830.7330000000002</v>
      </c>
      <c r="D24" s="521">
        <f>C24/D7</f>
        <v>0.1380400421496312</v>
      </c>
    </row>
    <row r="26" spans="1:22" ht="15.75" thickBot="1"/>
    <row r="27" spans="1:22" ht="15.75">
      <c r="A27" s="855" t="s">
        <v>306</v>
      </c>
      <c r="B27" s="852">
        <v>2012</v>
      </c>
      <c r="C27" s="853"/>
      <c r="D27" s="854"/>
      <c r="E27" s="849">
        <v>2013</v>
      </c>
      <c r="F27" s="850"/>
      <c r="G27" s="851"/>
      <c r="H27" s="852">
        <v>2014</v>
      </c>
      <c r="I27" s="853"/>
      <c r="J27" s="854"/>
      <c r="K27" s="849">
        <v>2015</v>
      </c>
      <c r="L27" s="850"/>
      <c r="M27" s="851"/>
      <c r="N27" s="852">
        <v>2016</v>
      </c>
      <c r="O27" s="853"/>
      <c r="P27" s="854"/>
      <c r="Q27" s="849">
        <v>2017</v>
      </c>
      <c r="R27" s="850"/>
      <c r="S27" s="851"/>
      <c r="T27" s="852">
        <v>2018</v>
      </c>
      <c r="U27" s="853"/>
      <c r="V27" s="854"/>
    </row>
    <row r="28" spans="1:22" ht="32.25" thickBot="1">
      <c r="A28" s="856"/>
      <c r="B28" s="509" t="s">
        <v>302</v>
      </c>
      <c r="C28" s="478" t="s">
        <v>303</v>
      </c>
      <c r="D28" s="479" t="s">
        <v>304</v>
      </c>
      <c r="E28" s="480" t="s">
        <v>302</v>
      </c>
      <c r="F28" s="481" t="s">
        <v>303</v>
      </c>
      <c r="G28" s="482" t="s">
        <v>304</v>
      </c>
      <c r="H28" s="477" t="s">
        <v>302</v>
      </c>
      <c r="I28" s="478" t="s">
        <v>303</v>
      </c>
      <c r="J28" s="479" t="s">
        <v>304</v>
      </c>
      <c r="K28" s="480" t="s">
        <v>302</v>
      </c>
      <c r="L28" s="481" t="s">
        <v>303</v>
      </c>
      <c r="M28" s="482" t="s">
        <v>304</v>
      </c>
      <c r="N28" s="477" t="s">
        <v>302</v>
      </c>
      <c r="O28" s="478" t="s">
        <v>303</v>
      </c>
      <c r="P28" s="479" t="s">
        <v>304</v>
      </c>
      <c r="Q28" s="480" t="s">
        <v>302</v>
      </c>
      <c r="R28" s="481" t="s">
        <v>303</v>
      </c>
      <c r="S28" s="482" t="s">
        <v>304</v>
      </c>
      <c r="T28" s="477" t="s">
        <v>302</v>
      </c>
      <c r="U28" s="478" t="s">
        <v>303</v>
      </c>
      <c r="V28" s="479" t="s">
        <v>304</v>
      </c>
    </row>
    <row r="29" spans="1:22">
      <c r="A29" s="483" t="s">
        <v>308</v>
      </c>
      <c r="B29" s="488">
        <v>91020</v>
      </c>
      <c r="C29" s="484">
        <v>1008</v>
      </c>
      <c r="D29" s="490">
        <f t="shared" ref="D29:D40" si="7">(C29)*(52.143)</f>
        <v>52560.144</v>
      </c>
      <c r="E29" s="485">
        <v>92442</v>
      </c>
      <c r="F29" s="486">
        <v>1026</v>
      </c>
      <c r="G29" s="487">
        <f t="shared" ref="G29:G40" si="8">(F29)*(52.143)</f>
        <v>53498.718000000001</v>
      </c>
      <c r="H29" s="488">
        <v>92298</v>
      </c>
      <c r="I29" s="489">
        <v>1047</v>
      </c>
      <c r="J29" s="490">
        <f t="shared" ref="J29:J40" si="9">(I29)*(52.143)</f>
        <v>54593.720999999998</v>
      </c>
      <c r="K29" s="485">
        <v>93886</v>
      </c>
      <c r="L29" s="486">
        <v>1080</v>
      </c>
      <c r="M29" s="487">
        <f t="shared" ref="M29:M40" si="10">(L29)*(52.143)</f>
        <v>56314.44</v>
      </c>
      <c r="N29" s="488">
        <v>96128</v>
      </c>
      <c r="O29" s="489">
        <v>1106</v>
      </c>
      <c r="P29" s="490">
        <f t="shared" ref="P29:P40" si="11">(O29)*(52.143)</f>
        <v>57670.158000000003</v>
      </c>
      <c r="Q29" s="485">
        <v>98111</v>
      </c>
      <c r="R29" s="486">
        <v>1152</v>
      </c>
      <c r="S29" s="487">
        <f t="shared" ref="S29:S40" si="12">(R29)*(52.143)</f>
        <v>60068.736000000004</v>
      </c>
      <c r="T29" s="791">
        <v>99510</v>
      </c>
      <c r="U29" s="792">
        <v>1220</v>
      </c>
      <c r="V29" s="490">
        <f t="shared" ref="V29:V40" si="13">(U29)*(52.143)</f>
        <v>63614.46</v>
      </c>
    </row>
    <row r="30" spans="1:22">
      <c r="A30" s="491" t="s">
        <v>309</v>
      </c>
      <c r="B30" s="496">
        <v>260</v>
      </c>
      <c r="C30" s="492">
        <v>554</v>
      </c>
      <c r="D30" s="498">
        <f t="shared" si="7"/>
        <v>28887.222000000002</v>
      </c>
      <c r="E30" s="493">
        <v>271</v>
      </c>
      <c r="F30" s="494">
        <v>541</v>
      </c>
      <c r="G30" s="495">
        <f t="shared" si="8"/>
        <v>28209.363000000001</v>
      </c>
      <c r="H30" s="496">
        <v>274</v>
      </c>
      <c r="I30" s="497">
        <v>599</v>
      </c>
      <c r="J30" s="498">
        <f t="shared" si="9"/>
        <v>31233.656999999999</v>
      </c>
      <c r="K30" s="493">
        <v>275</v>
      </c>
      <c r="L30" s="494">
        <v>618</v>
      </c>
      <c r="M30" s="495">
        <f t="shared" si="10"/>
        <v>32224.374</v>
      </c>
      <c r="N30" s="496">
        <v>276</v>
      </c>
      <c r="O30" s="497">
        <v>637</v>
      </c>
      <c r="P30" s="498">
        <f t="shared" si="11"/>
        <v>33215.091</v>
      </c>
      <c r="Q30" s="493">
        <v>303</v>
      </c>
      <c r="R30" s="494">
        <v>636</v>
      </c>
      <c r="S30" s="495">
        <f t="shared" si="12"/>
        <v>33162.948000000004</v>
      </c>
      <c r="T30" s="499">
        <v>312</v>
      </c>
      <c r="U30" s="788">
        <v>665</v>
      </c>
      <c r="V30" s="498">
        <f t="shared" si="13"/>
        <v>34675.095000000001</v>
      </c>
    </row>
    <row r="31" spans="1:22">
      <c r="A31" s="491" t="s">
        <v>310</v>
      </c>
      <c r="B31" s="496">
        <v>2926</v>
      </c>
      <c r="C31" s="492">
        <v>982</v>
      </c>
      <c r="D31" s="498">
        <f t="shared" si="7"/>
        <v>51204.425999999999</v>
      </c>
      <c r="E31" s="493">
        <v>3154</v>
      </c>
      <c r="F31" s="494">
        <v>996</v>
      </c>
      <c r="G31" s="495">
        <f t="shared" si="8"/>
        <v>51934.428</v>
      </c>
      <c r="H31" s="496">
        <v>3363</v>
      </c>
      <c r="I31" s="497">
        <v>1005</v>
      </c>
      <c r="J31" s="498">
        <f t="shared" si="9"/>
        <v>52403.715000000004</v>
      </c>
      <c r="K31" s="493">
        <v>3488</v>
      </c>
      <c r="L31" s="494">
        <v>1052</v>
      </c>
      <c r="M31" s="495">
        <f t="shared" si="10"/>
        <v>54854.436000000002</v>
      </c>
      <c r="N31" s="496">
        <v>3649</v>
      </c>
      <c r="O31" s="497">
        <v>1085</v>
      </c>
      <c r="P31" s="498">
        <f t="shared" si="11"/>
        <v>56575.154999999999</v>
      </c>
      <c r="Q31" s="493">
        <v>3816</v>
      </c>
      <c r="R31" s="494">
        <v>1125</v>
      </c>
      <c r="S31" s="495">
        <f t="shared" si="12"/>
        <v>58660.875</v>
      </c>
      <c r="T31" s="786">
        <v>3963</v>
      </c>
      <c r="U31" s="788">
        <v>1152</v>
      </c>
      <c r="V31" s="498">
        <f t="shared" si="13"/>
        <v>60068.736000000004</v>
      </c>
    </row>
    <row r="32" spans="1:22">
      <c r="A32" s="491" t="s">
        <v>311</v>
      </c>
      <c r="B32" s="496">
        <v>7775</v>
      </c>
      <c r="C32" s="492">
        <v>1415</v>
      </c>
      <c r="D32" s="498">
        <f t="shared" si="7"/>
        <v>73782.345000000001</v>
      </c>
      <c r="E32" s="493">
        <v>7344</v>
      </c>
      <c r="F32" s="494">
        <v>1500</v>
      </c>
      <c r="G32" s="495">
        <f t="shared" si="8"/>
        <v>78214.5</v>
      </c>
      <c r="H32" s="496">
        <v>7074</v>
      </c>
      <c r="I32" s="497">
        <v>1435</v>
      </c>
      <c r="J32" s="498">
        <f t="shared" si="9"/>
        <v>74825.205000000002</v>
      </c>
      <c r="K32" s="493">
        <v>6914</v>
      </c>
      <c r="L32" s="494">
        <v>1467</v>
      </c>
      <c r="M32" s="495">
        <f t="shared" si="10"/>
        <v>76493.781000000003</v>
      </c>
      <c r="N32" s="496">
        <v>6818</v>
      </c>
      <c r="O32" s="497">
        <v>1463</v>
      </c>
      <c r="P32" s="498">
        <f t="shared" si="11"/>
        <v>76285.209000000003</v>
      </c>
      <c r="Q32" s="493">
        <v>6745</v>
      </c>
      <c r="R32" s="494">
        <v>1540</v>
      </c>
      <c r="S32" s="495">
        <f t="shared" si="12"/>
        <v>80300.22</v>
      </c>
      <c r="T32" s="786">
        <v>6730</v>
      </c>
      <c r="U32" s="788">
        <v>1597</v>
      </c>
      <c r="V32" s="498">
        <f t="shared" si="13"/>
        <v>83272.370999999999</v>
      </c>
    </row>
    <row r="33" spans="1:22">
      <c r="A33" s="491" t="s">
        <v>312</v>
      </c>
      <c r="B33" s="496">
        <v>13712</v>
      </c>
      <c r="C33" s="492">
        <v>563</v>
      </c>
      <c r="D33" s="498">
        <f t="shared" si="7"/>
        <v>29356.509000000002</v>
      </c>
      <c r="E33" s="493">
        <v>14143</v>
      </c>
      <c r="F33" s="494">
        <v>563</v>
      </c>
      <c r="G33" s="495">
        <f t="shared" si="8"/>
        <v>29356.509000000002</v>
      </c>
      <c r="H33" s="496">
        <v>13730</v>
      </c>
      <c r="I33" s="497">
        <v>567</v>
      </c>
      <c r="J33" s="498">
        <f t="shared" si="9"/>
        <v>29565.081000000002</v>
      </c>
      <c r="K33" s="493">
        <v>13999</v>
      </c>
      <c r="L33" s="494">
        <v>594</v>
      </c>
      <c r="M33" s="495">
        <f t="shared" si="10"/>
        <v>30972.941999999999</v>
      </c>
      <c r="N33" s="496">
        <v>14094</v>
      </c>
      <c r="O33" s="497">
        <v>604</v>
      </c>
      <c r="P33" s="498">
        <f t="shared" si="11"/>
        <v>31494.371999999999</v>
      </c>
      <c r="Q33" s="493">
        <v>13970</v>
      </c>
      <c r="R33" s="494">
        <v>627</v>
      </c>
      <c r="S33" s="495">
        <f t="shared" si="12"/>
        <v>32693.661</v>
      </c>
      <c r="T33" s="786">
        <v>13897</v>
      </c>
      <c r="U33" s="788">
        <v>650</v>
      </c>
      <c r="V33" s="498">
        <f t="shared" si="13"/>
        <v>33892.949999999997</v>
      </c>
    </row>
    <row r="34" spans="1:22">
      <c r="A34" s="491" t="s">
        <v>313</v>
      </c>
      <c r="B34" s="496"/>
      <c r="C34" s="492"/>
      <c r="D34" s="498">
        <f t="shared" si="7"/>
        <v>0</v>
      </c>
      <c r="E34" s="493">
        <v>1545</v>
      </c>
      <c r="F34" s="494">
        <v>1021</v>
      </c>
      <c r="G34" s="495">
        <f t="shared" si="8"/>
        <v>53238.003000000004</v>
      </c>
      <c r="H34" s="496">
        <v>1787</v>
      </c>
      <c r="I34" s="497">
        <v>1041</v>
      </c>
      <c r="J34" s="498">
        <f t="shared" si="9"/>
        <v>54280.862999999998</v>
      </c>
      <c r="K34" s="493">
        <v>1786</v>
      </c>
      <c r="L34" s="494">
        <v>1054</v>
      </c>
      <c r="M34" s="495">
        <f t="shared" si="10"/>
        <v>54958.722000000002</v>
      </c>
      <c r="N34" s="496">
        <v>1689</v>
      </c>
      <c r="O34" s="497">
        <v>1129</v>
      </c>
      <c r="P34" s="498">
        <f t="shared" si="11"/>
        <v>58869.447</v>
      </c>
      <c r="Q34" s="493">
        <v>1653</v>
      </c>
      <c r="R34" s="494">
        <v>1249</v>
      </c>
      <c r="S34" s="495">
        <f t="shared" si="12"/>
        <v>65126.607000000004</v>
      </c>
      <c r="T34" s="786">
        <v>1494</v>
      </c>
      <c r="U34" s="788">
        <v>1084</v>
      </c>
      <c r="V34" s="498">
        <f t="shared" si="13"/>
        <v>56523.012000000002</v>
      </c>
    </row>
    <row r="35" spans="1:22">
      <c r="A35" s="491" t="s">
        <v>314</v>
      </c>
      <c r="B35" s="496">
        <v>1989</v>
      </c>
      <c r="C35" s="492">
        <v>957</v>
      </c>
      <c r="D35" s="498">
        <f t="shared" si="7"/>
        <v>49900.851000000002</v>
      </c>
      <c r="E35" s="493">
        <v>2135</v>
      </c>
      <c r="F35" s="494">
        <v>996</v>
      </c>
      <c r="G35" s="495">
        <f t="shared" si="8"/>
        <v>51934.428</v>
      </c>
      <c r="H35" s="496">
        <v>2111</v>
      </c>
      <c r="I35" s="497">
        <v>1035</v>
      </c>
      <c r="J35" s="498">
        <f t="shared" si="9"/>
        <v>53968.004999999997</v>
      </c>
      <c r="K35" s="493">
        <v>2019</v>
      </c>
      <c r="L35" s="494">
        <v>1129</v>
      </c>
      <c r="M35" s="495">
        <f t="shared" si="10"/>
        <v>58869.447</v>
      </c>
      <c r="N35" s="496">
        <v>1987</v>
      </c>
      <c r="O35" s="497">
        <v>1148</v>
      </c>
      <c r="P35" s="498">
        <f t="shared" si="11"/>
        <v>59860.164000000004</v>
      </c>
      <c r="Q35" s="493">
        <v>2093</v>
      </c>
      <c r="R35" s="494">
        <v>1151</v>
      </c>
      <c r="S35" s="495">
        <f t="shared" si="12"/>
        <v>60016.593000000001</v>
      </c>
      <c r="T35" s="786">
        <v>2087</v>
      </c>
      <c r="U35" s="788">
        <v>1206</v>
      </c>
      <c r="V35" s="498">
        <f t="shared" si="13"/>
        <v>62884.457999999999</v>
      </c>
    </row>
    <row r="36" spans="1:22">
      <c r="A36" s="491" t="s">
        <v>315</v>
      </c>
      <c r="B36" s="496">
        <v>4855</v>
      </c>
      <c r="C36" s="492">
        <v>767</v>
      </c>
      <c r="D36" s="498">
        <f t="shared" si="7"/>
        <v>39993.681000000004</v>
      </c>
      <c r="E36" s="493">
        <v>5073</v>
      </c>
      <c r="F36" s="494">
        <v>791</v>
      </c>
      <c r="G36" s="495">
        <f t="shared" si="8"/>
        <v>41245.112999999998</v>
      </c>
      <c r="H36" s="496">
        <v>5060</v>
      </c>
      <c r="I36" s="497">
        <v>821</v>
      </c>
      <c r="J36" s="498">
        <f t="shared" si="9"/>
        <v>42809.402999999998</v>
      </c>
      <c r="K36" s="493">
        <v>4893</v>
      </c>
      <c r="L36" s="494">
        <v>865</v>
      </c>
      <c r="M36" s="495">
        <f t="shared" si="10"/>
        <v>45103.695</v>
      </c>
      <c r="N36" s="496">
        <v>4770</v>
      </c>
      <c r="O36" s="497">
        <v>917</v>
      </c>
      <c r="P36" s="498">
        <f t="shared" si="11"/>
        <v>47815.131000000001</v>
      </c>
      <c r="Q36" s="493">
        <v>5202</v>
      </c>
      <c r="R36" s="494">
        <v>988</v>
      </c>
      <c r="S36" s="495">
        <f t="shared" si="12"/>
        <v>51517.284</v>
      </c>
      <c r="T36" s="786">
        <v>5086</v>
      </c>
      <c r="U36" s="788">
        <v>1032</v>
      </c>
      <c r="V36" s="498">
        <f t="shared" si="13"/>
        <v>53811.576000000001</v>
      </c>
    </row>
    <row r="37" spans="1:22">
      <c r="A37" s="491" t="s">
        <v>316</v>
      </c>
      <c r="B37" s="496">
        <v>45005</v>
      </c>
      <c r="C37" s="492">
        <v>1244</v>
      </c>
      <c r="D37" s="498">
        <f t="shared" si="7"/>
        <v>64865.892</v>
      </c>
      <c r="E37" s="493">
        <v>45607</v>
      </c>
      <c r="F37" s="494">
        <v>1267</v>
      </c>
      <c r="G37" s="495">
        <f t="shared" si="8"/>
        <v>66065.180999999997</v>
      </c>
      <c r="H37" s="496">
        <v>45388</v>
      </c>
      <c r="I37" s="497">
        <v>1311</v>
      </c>
      <c r="J37" s="498">
        <f t="shared" si="9"/>
        <v>68359.472999999998</v>
      </c>
      <c r="K37" s="493">
        <v>46494</v>
      </c>
      <c r="L37" s="494">
        <v>1347</v>
      </c>
      <c r="M37" s="495">
        <f t="shared" si="10"/>
        <v>70236.620999999999</v>
      </c>
      <c r="N37" s="496">
        <v>48603</v>
      </c>
      <c r="O37" s="497">
        <v>1375</v>
      </c>
      <c r="P37" s="498">
        <f t="shared" si="11"/>
        <v>71696.625</v>
      </c>
      <c r="Q37" s="493">
        <v>49915</v>
      </c>
      <c r="R37" s="494">
        <v>1421</v>
      </c>
      <c r="S37" s="495">
        <f t="shared" si="12"/>
        <v>74095.202999999994</v>
      </c>
      <c r="T37" s="786">
        <v>51099</v>
      </c>
      <c r="U37" s="788">
        <v>1528</v>
      </c>
      <c r="V37" s="498">
        <f t="shared" si="13"/>
        <v>79674.504000000001</v>
      </c>
    </row>
    <row r="38" spans="1:22">
      <c r="A38" s="491" t="s">
        <v>317</v>
      </c>
      <c r="B38" s="496">
        <v>7983</v>
      </c>
      <c r="C38" s="492">
        <v>300</v>
      </c>
      <c r="D38" s="498">
        <f t="shared" si="7"/>
        <v>15642.9</v>
      </c>
      <c r="E38" s="493">
        <v>8083</v>
      </c>
      <c r="F38" s="494">
        <v>310</v>
      </c>
      <c r="G38" s="495">
        <f t="shared" si="8"/>
        <v>16164.33</v>
      </c>
      <c r="H38" s="496">
        <v>8309</v>
      </c>
      <c r="I38" s="497">
        <v>320</v>
      </c>
      <c r="J38" s="498">
        <f t="shared" si="9"/>
        <v>16685.760000000002</v>
      </c>
      <c r="K38" s="493">
        <v>8685</v>
      </c>
      <c r="L38" s="494">
        <v>352</v>
      </c>
      <c r="M38" s="495">
        <f t="shared" si="10"/>
        <v>18354.335999999999</v>
      </c>
      <c r="N38" s="496">
        <v>8758</v>
      </c>
      <c r="O38" s="497">
        <v>349</v>
      </c>
      <c r="P38" s="498">
        <f t="shared" si="11"/>
        <v>18197.906999999999</v>
      </c>
      <c r="Q38" s="493">
        <v>8926</v>
      </c>
      <c r="R38" s="494">
        <v>372</v>
      </c>
      <c r="S38" s="495">
        <f t="shared" si="12"/>
        <v>19397.196</v>
      </c>
      <c r="T38" s="786">
        <v>9375</v>
      </c>
      <c r="U38" s="788">
        <v>392</v>
      </c>
      <c r="V38" s="498">
        <f t="shared" si="13"/>
        <v>20440.056</v>
      </c>
    </row>
    <row r="39" spans="1:22">
      <c r="A39" s="491" t="s">
        <v>318</v>
      </c>
      <c r="B39" s="496">
        <v>2178</v>
      </c>
      <c r="C39" s="492">
        <v>473</v>
      </c>
      <c r="D39" s="498">
        <f t="shared" si="7"/>
        <v>24663.638999999999</v>
      </c>
      <c r="E39" s="493">
        <v>2232</v>
      </c>
      <c r="F39" s="494">
        <v>494</v>
      </c>
      <c r="G39" s="495">
        <f t="shared" si="8"/>
        <v>25758.642</v>
      </c>
      <c r="H39" s="496">
        <v>2327</v>
      </c>
      <c r="I39" s="497">
        <v>518</v>
      </c>
      <c r="J39" s="498">
        <f t="shared" si="9"/>
        <v>27010.074000000001</v>
      </c>
      <c r="K39" s="493">
        <v>2427</v>
      </c>
      <c r="L39" s="494">
        <v>545</v>
      </c>
      <c r="M39" s="495">
        <f t="shared" si="10"/>
        <v>28417.935000000001</v>
      </c>
      <c r="N39" s="496">
        <v>2509</v>
      </c>
      <c r="O39" s="497">
        <v>555</v>
      </c>
      <c r="P39" s="498">
        <f t="shared" si="11"/>
        <v>28939.365000000002</v>
      </c>
      <c r="Q39" s="493">
        <v>2485</v>
      </c>
      <c r="R39" s="494">
        <v>582</v>
      </c>
      <c r="S39" s="495">
        <f t="shared" si="12"/>
        <v>30347.225999999999</v>
      </c>
      <c r="T39" s="786">
        <v>2451</v>
      </c>
      <c r="U39" s="788">
        <v>607</v>
      </c>
      <c r="V39" s="498">
        <f t="shared" si="13"/>
        <v>31650.800999999999</v>
      </c>
    </row>
    <row r="40" spans="1:22" ht="15.75" thickBot="1">
      <c r="A40" s="500" t="s">
        <v>319</v>
      </c>
      <c r="B40" s="505">
        <v>2842</v>
      </c>
      <c r="C40" s="501">
        <v>1192</v>
      </c>
      <c r="D40" s="507">
        <f t="shared" si="7"/>
        <v>62154.455999999998</v>
      </c>
      <c r="E40" s="502">
        <v>2854</v>
      </c>
      <c r="F40" s="503">
        <v>1212</v>
      </c>
      <c r="G40" s="504">
        <f t="shared" si="8"/>
        <v>63197.315999999999</v>
      </c>
      <c r="H40" s="505">
        <v>2873</v>
      </c>
      <c r="I40" s="506">
        <v>1237</v>
      </c>
      <c r="J40" s="507">
        <f t="shared" si="9"/>
        <v>64500.891000000003</v>
      </c>
      <c r="K40" s="502">
        <v>2904</v>
      </c>
      <c r="L40" s="503">
        <v>1276</v>
      </c>
      <c r="M40" s="504">
        <f t="shared" si="10"/>
        <v>66534.468000000008</v>
      </c>
      <c r="N40" s="505">
        <v>2974</v>
      </c>
      <c r="O40" s="506">
        <v>1293</v>
      </c>
      <c r="P40" s="507">
        <f t="shared" si="11"/>
        <v>67420.899000000005</v>
      </c>
      <c r="Q40" s="502">
        <v>3003</v>
      </c>
      <c r="R40" s="503">
        <v>1334</v>
      </c>
      <c r="S40" s="504">
        <f t="shared" si="12"/>
        <v>69558.762000000002</v>
      </c>
      <c r="T40" s="787">
        <v>3012</v>
      </c>
      <c r="U40" s="790">
        <v>1404</v>
      </c>
      <c r="V40" s="507">
        <f t="shared" si="13"/>
        <v>73208.771999999997</v>
      </c>
    </row>
    <row r="41" spans="1:22" ht="15.75" thickBot="1">
      <c r="D41" s="508"/>
      <c r="E41" s="508"/>
    </row>
    <row r="42" spans="1:22" ht="30.75" thickBot="1">
      <c r="B42" s="519" t="s">
        <v>328</v>
      </c>
      <c r="C42" s="517" t="s">
        <v>322</v>
      </c>
      <c r="D42" s="518" t="s">
        <v>323</v>
      </c>
      <c r="E42" s="508"/>
    </row>
    <row r="43" spans="1:22">
      <c r="B43"/>
      <c r="C43" s="522">
        <f>Q29-B29</f>
        <v>7091</v>
      </c>
      <c r="D43" s="521">
        <f>C43/B29</f>
        <v>7.7905954735223035E-2</v>
      </c>
      <c r="E43" s="508"/>
    </row>
    <row r="44" spans="1:22" ht="15.75" thickBot="1">
      <c r="B44"/>
      <c r="C44" s="11"/>
      <c r="E44" s="508"/>
    </row>
    <row r="45" spans="1:22" ht="30.75" thickBot="1">
      <c r="B45" s="516" t="s">
        <v>329</v>
      </c>
      <c r="C45" s="517" t="s">
        <v>322</v>
      </c>
      <c r="D45" s="518" t="s">
        <v>323</v>
      </c>
      <c r="E45" s="508"/>
    </row>
    <row r="46" spans="1:22">
      <c r="B46"/>
      <c r="C46" s="520">
        <f>S29-D29</f>
        <v>7508.5920000000042</v>
      </c>
      <c r="D46" s="521">
        <f>C46/D29</f>
        <v>0.14285714285714293</v>
      </c>
    </row>
    <row r="47" spans="1:22" ht="15.75" thickBot="1"/>
    <row r="48" spans="1:22" ht="15.75">
      <c r="A48" s="855" t="s">
        <v>301</v>
      </c>
      <c r="B48" s="852">
        <v>2012</v>
      </c>
      <c r="C48" s="853"/>
      <c r="D48" s="854"/>
      <c r="E48" s="849">
        <v>2013</v>
      </c>
      <c r="F48" s="850"/>
      <c r="G48" s="851"/>
      <c r="H48" s="852">
        <v>2014</v>
      </c>
      <c r="I48" s="853"/>
      <c r="J48" s="854"/>
      <c r="K48" s="849">
        <v>2015</v>
      </c>
      <c r="L48" s="850"/>
      <c r="M48" s="851"/>
      <c r="N48" s="852">
        <v>2016</v>
      </c>
      <c r="O48" s="853"/>
      <c r="P48" s="854"/>
      <c r="Q48" s="849">
        <v>2017</v>
      </c>
      <c r="R48" s="850"/>
      <c r="S48" s="851"/>
      <c r="T48" s="852">
        <v>2018</v>
      </c>
      <c r="U48" s="853"/>
      <c r="V48" s="854"/>
    </row>
    <row r="49" spans="1:22" ht="32.25" thickBot="1">
      <c r="A49" s="856"/>
      <c r="B49" s="509" t="s">
        <v>302</v>
      </c>
      <c r="C49" s="478" t="s">
        <v>303</v>
      </c>
      <c r="D49" s="479" t="s">
        <v>304</v>
      </c>
      <c r="E49" s="480" t="s">
        <v>302</v>
      </c>
      <c r="F49" s="481" t="s">
        <v>303</v>
      </c>
      <c r="G49" s="482" t="s">
        <v>304</v>
      </c>
      <c r="H49" s="477" t="s">
        <v>302</v>
      </c>
      <c r="I49" s="478" t="s">
        <v>303</v>
      </c>
      <c r="J49" s="479" t="s">
        <v>304</v>
      </c>
      <c r="K49" s="480" t="s">
        <v>302</v>
      </c>
      <c r="L49" s="481" t="s">
        <v>303</v>
      </c>
      <c r="M49" s="482" t="s">
        <v>304</v>
      </c>
      <c r="N49" s="477" t="s">
        <v>302</v>
      </c>
      <c r="O49" s="478" t="s">
        <v>303</v>
      </c>
      <c r="P49" s="479" t="s">
        <v>304</v>
      </c>
      <c r="Q49" s="480" t="s">
        <v>302</v>
      </c>
      <c r="R49" s="481" t="s">
        <v>303</v>
      </c>
      <c r="S49" s="482" t="s">
        <v>304</v>
      </c>
      <c r="T49" s="477" t="s">
        <v>302</v>
      </c>
      <c r="U49" s="478" t="s">
        <v>303</v>
      </c>
      <c r="V49" s="479" t="s">
        <v>304</v>
      </c>
    </row>
    <row r="50" spans="1:22">
      <c r="A50" s="483" t="s">
        <v>308</v>
      </c>
      <c r="B50" s="488">
        <v>85144</v>
      </c>
      <c r="C50" s="484">
        <v>1033</v>
      </c>
      <c r="D50" s="490">
        <f t="shared" ref="D50:D61" si="14">(C50)*(52.143)</f>
        <v>53863.718999999997</v>
      </c>
      <c r="E50" s="485">
        <v>86347</v>
      </c>
      <c r="F50" s="486">
        <v>1048</v>
      </c>
      <c r="G50" s="487">
        <f t="shared" ref="G50:G61" si="15">(F50)*(52.143)</f>
        <v>54645.864000000001</v>
      </c>
      <c r="H50" s="488">
        <v>86053</v>
      </c>
      <c r="I50" s="489">
        <v>1073</v>
      </c>
      <c r="J50" s="490">
        <f t="shared" ref="J50:J61" si="16">(I50)*(52.143)</f>
        <v>55949.438999999998</v>
      </c>
      <c r="K50" s="485">
        <v>87447</v>
      </c>
      <c r="L50" s="486">
        <v>1107</v>
      </c>
      <c r="M50" s="487">
        <f t="shared" ref="M50:M61" si="17">(L50)*(52.143)</f>
        <v>57722.300999999999</v>
      </c>
      <c r="N50" s="488">
        <v>89534</v>
      </c>
      <c r="O50" s="489">
        <v>1132</v>
      </c>
      <c r="P50" s="490">
        <f t="shared" ref="P50:P61" si="18">(O50)*(52.143)</f>
        <v>59025.876000000004</v>
      </c>
      <c r="Q50" s="485">
        <v>91380</v>
      </c>
      <c r="R50" s="486">
        <v>1180</v>
      </c>
      <c r="S50" s="487">
        <f t="shared" ref="S50:S61" si="19">(R50)*(52.143)</f>
        <v>61528.74</v>
      </c>
      <c r="T50" s="791">
        <v>92297</v>
      </c>
      <c r="U50" s="792">
        <v>1254</v>
      </c>
      <c r="V50" s="490">
        <f t="shared" ref="V50:V61" si="20">(U50)*(52.143)</f>
        <v>65387.322</v>
      </c>
    </row>
    <row r="51" spans="1:22">
      <c r="A51" s="491" t="s">
        <v>309</v>
      </c>
      <c r="B51" s="496">
        <v>58</v>
      </c>
      <c r="C51" s="492">
        <v>891</v>
      </c>
      <c r="D51" s="498">
        <f t="shared" si="14"/>
        <v>46459.413</v>
      </c>
      <c r="E51" s="493">
        <v>56</v>
      </c>
      <c r="F51" s="494">
        <v>855</v>
      </c>
      <c r="G51" s="495">
        <f t="shared" si="15"/>
        <v>44582.264999999999</v>
      </c>
      <c r="H51" s="496">
        <v>57</v>
      </c>
      <c r="I51" s="497">
        <v>927</v>
      </c>
      <c r="J51" s="498">
        <f t="shared" si="16"/>
        <v>48336.561000000002</v>
      </c>
      <c r="K51" s="493">
        <v>64</v>
      </c>
      <c r="L51" s="494">
        <v>917</v>
      </c>
      <c r="M51" s="495">
        <f t="shared" si="17"/>
        <v>47815.131000000001</v>
      </c>
      <c r="N51" s="496">
        <v>58</v>
      </c>
      <c r="O51" s="497">
        <v>1051</v>
      </c>
      <c r="P51" s="498">
        <f t="shared" si="18"/>
        <v>54802.292999999998</v>
      </c>
      <c r="Q51" s="493">
        <v>68</v>
      </c>
      <c r="R51" s="494">
        <v>978</v>
      </c>
      <c r="S51" s="495">
        <f t="shared" si="19"/>
        <v>50995.853999999999</v>
      </c>
      <c r="T51" s="499">
        <v>72</v>
      </c>
      <c r="U51" s="788">
        <v>1105</v>
      </c>
      <c r="V51" s="498">
        <f t="shared" si="20"/>
        <v>57618.014999999999</v>
      </c>
    </row>
    <row r="52" spans="1:22">
      <c r="A52" s="491" t="s">
        <v>310</v>
      </c>
      <c r="B52" s="496">
        <v>2070</v>
      </c>
      <c r="C52" s="492">
        <v>1004</v>
      </c>
      <c r="D52" s="498">
        <f t="shared" si="14"/>
        <v>52351.572</v>
      </c>
      <c r="E52" s="493">
        <v>2212</v>
      </c>
      <c r="F52" s="494">
        <v>1021</v>
      </c>
      <c r="G52" s="495">
        <f t="shared" si="15"/>
        <v>53238.003000000004</v>
      </c>
      <c r="H52" s="496">
        <v>2301</v>
      </c>
      <c r="I52" s="497">
        <v>1040</v>
      </c>
      <c r="J52" s="498">
        <f t="shared" si="16"/>
        <v>54228.72</v>
      </c>
      <c r="K52" s="493">
        <v>2362</v>
      </c>
      <c r="L52" s="494">
        <v>1087</v>
      </c>
      <c r="M52" s="495">
        <f t="shared" si="17"/>
        <v>56679.440999999999</v>
      </c>
      <c r="N52" s="496">
        <v>2498</v>
      </c>
      <c r="O52" s="497">
        <v>1130</v>
      </c>
      <c r="P52" s="498">
        <f t="shared" si="18"/>
        <v>58921.590000000004</v>
      </c>
      <c r="Q52" s="493">
        <v>2646</v>
      </c>
      <c r="R52" s="494">
        <v>1159</v>
      </c>
      <c r="S52" s="495">
        <f t="shared" si="19"/>
        <v>60433.737000000001</v>
      </c>
      <c r="T52" s="786">
        <v>2695</v>
      </c>
      <c r="U52" s="788">
        <v>1184</v>
      </c>
      <c r="V52" s="498">
        <f t="shared" si="20"/>
        <v>61737.311999999998</v>
      </c>
    </row>
    <row r="53" spans="1:22">
      <c r="A53" s="491" t="s">
        <v>311</v>
      </c>
      <c r="B53" s="496">
        <v>6763</v>
      </c>
      <c r="C53" s="492">
        <v>1505</v>
      </c>
      <c r="D53" s="498">
        <f t="shared" si="14"/>
        <v>78475.214999999997</v>
      </c>
      <c r="E53" s="493">
        <v>6372</v>
      </c>
      <c r="F53" s="494">
        <v>1548</v>
      </c>
      <c r="G53" s="495">
        <f t="shared" si="15"/>
        <v>80717.364000000001</v>
      </c>
      <c r="H53" s="496">
        <v>6109</v>
      </c>
      <c r="I53" s="497">
        <v>1526</v>
      </c>
      <c r="J53" s="498">
        <f t="shared" si="16"/>
        <v>79570.218000000008</v>
      </c>
      <c r="K53" s="493">
        <v>5841</v>
      </c>
      <c r="L53" s="494">
        <v>1569</v>
      </c>
      <c r="M53" s="495">
        <f t="shared" si="17"/>
        <v>81812.366999999998</v>
      </c>
      <c r="N53" s="496">
        <v>5726</v>
      </c>
      <c r="O53" s="497">
        <v>1557</v>
      </c>
      <c r="P53" s="498">
        <f t="shared" si="18"/>
        <v>81186.650999999998</v>
      </c>
      <c r="Q53" s="493">
        <v>5704</v>
      </c>
      <c r="R53" s="494">
        <v>1645</v>
      </c>
      <c r="S53" s="495">
        <f t="shared" si="19"/>
        <v>85775.235000000001</v>
      </c>
      <c r="T53" s="786">
        <v>5628</v>
      </c>
      <c r="U53" s="788">
        <v>1718</v>
      </c>
      <c r="V53" s="498">
        <f t="shared" si="20"/>
        <v>89581.673999999999</v>
      </c>
    </row>
    <row r="54" spans="1:22">
      <c r="A54" s="491" t="s">
        <v>312</v>
      </c>
      <c r="B54" s="496">
        <v>12463</v>
      </c>
      <c r="C54" s="492">
        <v>560</v>
      </c>
      <c r="D54" s="498">
        <f t="shared" si="14"/>
        <v>29200.080000000002</v>
      </c>
      <c r="E54" s="493">
        <v>12836</v>
      </c>
      <c r="F54" s="494">
        <v>560</v>
      </c>
      <c r="G54" s="495">
        <f t="shared" si="15"/>
        <v>29200.080000000002</v>
      </c>
      <c r="H54" s="496">
        <v>12483</v>
      </c>
      <c r="I54" s="497">
        <v>561</v>
      </c>
      <c r="J54" s="498">
        <f t="shared" si="16"/>
        <v>29252.223000000002</v>
      </c>
      <c r="K54" s="493">
        <v>12724</v>
      </c>
      <c r="L54" s="494">
        <v>590</v>
      </c>
      <c r="M54" s="495">
        <f t="shared" si="17"/>
        <v>30764.37</v>
      </c>
      <c r="N54" s="496">
        <v>12828</v>
      </c>
      <c r="O54" s="497">
        <v>599</v>
      </c>
      <c r="P54" s="498">
        <f t="shared" si="18"/>
        <v>31233.656999999999</v>
      </c>
      <c r="Q54" s="493">
        <v>12703</v>
      </c>
      <c r="R54" s="494">
        <v>625</v>
      </c>
      <c r="S54" s="495">
        <f t="shared" si="19"/>
        <v>32589.375</v>
      </c>
      <c r="T54" s="786">
        <v>12519</v>
      </c>
      <c r="U54" s="788">
        <v>643</v>
      </c>
      <c r="V54" s="498">
        <f t="shared" si="20"/>
        <v>33527.949000000001</v>
      </c>
    </row>
    <row r="55" spans="1:22">
      <c r="A55" s="491" t="s">
        <v>313</v>
      </c>
      <c r="B55" s="496"/>
      <c r="C55" s="492"/>
      <c r="D55" s="498">
        <f t="shared" si="14"/>
        <v>0</v>
      </c>
      <c r="E55" s="493">
        <v>1527</v>
      </c>
      <c r="F55" s="494">
        <v>1028</v>
      </c>
      <c r="G55" s="495">
        <f t="shared" si="15"/>
        <v>53603.004000000001</v>
      </c>
      <c r="H55" s="496">
        <v>1774</v>
      </c>
      <c r="I55" s="497">
        <v>1044</v>
      </c>
      <c r="J55" s="498">
        <f t="shared" si="16"/>
        <v>54437.292000000001</v>
      </c>
      <c r="K55" s="493">
        <v>1774</v>
      </c>
      <c r="L55" s="494">
        <v>1057</v>
      </c>
      <c r="M55" s="495">
        <f t="shared" si="17"/>
        <v>55115.150999999998</v>
      </c>
      <c r="N55" s="496">
        <v>1680</v>
      </c>
      <c r="O55" s="497">
        <v>1132</v>
      </c>
      <c r="P55" s="498">
        <f t="shared" si="18"/>
        <v>59025.876000000004</v>
      </c>
      <c r="Q55" s="493">
        <v>1616</v>
      </c>
      <c r="R55" s="494">
        <v>1265</v>
      </c>
      <c r="S55" s="495">
        <f t="shared" si="19"/>
        <v>65960.895000000004</v>
      </c>
      <c r="T55" s="786">
        <v>1473</v>
      </c>
      <c r="U55" s="788">
        <v>1087</v>
      </c>
      <c r="V55" s="498">
        <f t="shared" si="20"/>
        <v>56679.440999999999</v>
      </c>
    </row>
    <row r="56" spans="1:22">
      <c r="A56" s="491" t="s">
        <v>314</v>
      </c>
      <c r="B56" s="496">
        <v>1866</v>
      </c>
      <c r="C56" s="492">
        <v>980</v>
      </c>
      <c r="D56" s="498">
        <f t="shared" si="14"/>
        <v>51100.14</v>
      </c>
      <c r="E56" s="493">
        <v>1988</v>
      </c>
      <c r="F56" s="494">
        <v>1024</v>
      </c>
      <c r="G56" s="495">
        <f t="shared" si="15"/>
        <v>53394.432000000001</v>
      </c>
      <c r="H56" s="496">
        <v>1962</v>
      </c>
      <c r="I56" s="497">
        <v>1064</v>
      </c>
      <c r="J56" s="498">
        <f t="shared" si="16"/>
        <v>55480.152000000002</v>
      </c>
      <c r="K56" s="493">
        <v>1885</v>
      </c>
      <c r="L56" s="494">
        <v>1161</v>
      </c>
      <c r="M56" s="495">
        <f t="shared" si="17"/>
        <v>60538.023000000001</v>
      </c>
      <c r="N56" s="496">
        <v>1848</v>
      </c>
      <c r="O56" s="497">
        <v>1184</v>
      </c>
      <c r="P56" s="498">
        <f t="shared" si="18"/>
        <v>61737.311999999998</v>
      </c>
      <c r="Q56" s="493">
        <v>1947</v>
      </c>
      <c r="R56" s="494">
        <v>1179</v>
      </c>
      <c r="S56" s="495">
        <f t="shared" si="19"/>
        <v>61476.597000000002</v>
      </c>
      <c r="T56" s="786">
        <v>1954</v>
      </c>
      <c r="U56" s="788">
        <v>1228</v>
      </c>
      <c r="V56" s="498">
        <f t="shared" si="20"/>
        <v>64031.603999999999</v>
      </c>
    </row>
    <row r="57" spans="1:22">
      <c r="A57" s="491" t="s">
        <v>315</v>
      </c>
      <c r="B57" s="496">
        <v>4446</v>
      </c>
      <c r="C57" s="492">
        <v>775</v>
      </c>
      <c r="D57" s="498">
        <f t="shared" si="14"/>
        <v>40410.824999999997</v>
      </c>
      <c r="E57" s="493">
        <v>4624</v>
      </c>
      <c r="F57" s="494">
        <v>802</v>
      </c>
      <c r="G57" s="495">
        <f t="shared" si="15"/>
        <v>41818.686000000002</v>
      </c>
      <c r="H57" s="496">
        <v>4613</v>
      </c>
      <c r="I57" s="497">
        <v>833</v>
      </c>
      <c r="J57" s="498">
        <f t="shared" si="16"/>
        <v>43435.118999999999</v>
      </c>
      <c r="K57" s="493">
        <v>4418</v>
      </c>
      <c r="L57" s="494">
        <v>883</v>
      </c>
      <c r="M57" s="495">
        <f t="shared" si="17"/>
        <v>46042.269</v>
      </c>
      <c r="N57" s="496">
        <v>4277</v>
      </c>
      <c r="O57" s="497">
        <v>935</v>
      </c>
      <c r="P57" s="498">
        <f t="shared" si="18"/>
        <v>48753.705000000002</v>
      </c>
      <c r="Q57" s="493">
        <v>4709</v>
      </c>
      <c r="R57" s="494">
        <v>1003</v>
      </c>
      <c r="S57" s="495">
        <f t="shared" si="19"/>
        <v>52299.429000000004</v>
      </c>
      <c r="T57" s="786">
        <v>4550</v>
      </c>
      <c r="U57" s="788">
        <v>1060</v>
      </c>
      <c r="V57" s="498">
        <f t="shared" si="20"/>
        <v>55271.58</v>
      </c>
    </row>
    <row r="58" spans="1:22">
      <c r="A58" s="491" t="s">
        <v>316</v>
      </c>
      <c r="B58" s="496">
        <v>43749</v>
      </c>
      <c r="C58" s="492">
        <v>1262</v>
      </c>
      <c r="D58" s="498">
        <f t="shared" si="14"/>
        <v>65804.466</v>
      </c>
      <c r="E58" s="493">
        <v>44312</v>
      </c>
      <c r="F58" s="494">
        <v>1286</v>
      </c>
      <c r="G58" s="495">
        <f t="shared" si="15"/>
        <v>67055.898000000001</v>
      </c>
      <c r="H58" s="496">
        <v>44055</v>
      </c>
      <c r="I58" s="497">
        <v>1331</v>
      </c>
      <c r="J58" s="498">
        <f t="shared" si="16"/>
        <v>69402.332999999999</v>
      </c>
      <c r="K58" s="493">
        <v>45159</v>
      </c>
      <c r="L58" s="494">
        <v>1367</v>
      </c>
      <c r="M58" s="495">
        <f t="shared" si="17"/>
        <v>71279.481</v>
      </c>
      <c r="N58" s="496">
        <v>47213</v>
      </c>
      <c r="O58" s="497">
        <v>1394</v>
      </c>
      <c r="P58" s="498">
        <f t="shared" si="18"/>
        <v>72687.342000000004</v>
      </c>
      <c r="Q58" s="493">
        <v>48449</v>
      </c>
      <c r="R58" s="494">
        <v>1442</v>
      </c>
      <c r="S58" s="495">
        <f t="shared" si="19"/>
        <v>75190.206000000006</v>
      </c>
      <c r="T58" s="786">
        <v>49545</v>
      </c>
      <c r="U58" s="788">
        <v>1552</v>
      </c>
      <c r="V58" s="498">
        <f t="shared" si="20"/>
        <v>80925.936000000002</v>
      </c>
    </row>
    <row r="59" spans="1:22">
      <c r="A59" s="491" t="s">
        <v>317</v>
      </c>
      <c r="B59" s="496">
        <v>7469</v>
      </c>
      <c r="C59" s="492">
        <v>306</v>
      </c>
      <c r="D59" s="498">
        <f t="shared" si="14"/>
        <v>15955.758</v>
      </c>
      <c r="E59" s="493">
        <v>7609</v>
      </c>
      <c r="F59" s="494">
        <v>316</v>
      </c>
      <c r="G59" s="495">
        <f t="shared" si="15"/>
        <v>16477.188000000002</v>
      </c>
      <c r="H59" s="496">
        <v>7799</v>
      </c>
      <c r="I59" s="497">
        <v>326</v>
      </c>
      <c r="J59" s="498">
        <f t="shared" si="16"/>
        <v>16998.617999999999</v>
      </c>
      <c r="K59" s="493">
        <v>8196</v>
      </c>
      <c r="L59" s="494">
        <v>359</v>
      </c>
      <c r="M59" s="495">
        <f t="shared" si="17"/>
        <v>18719.337</v>
      </c>
      <c r="N59" s="496">
        <v>8289</v>
      </c>
      <c r="O59" s="497">
        <v>355</v>
      </c>
      <c r="P59" s="498">
        <f t="shared" si="18"/>
        <v>18510.764999999999</v>
      </c>
      <c r="Q59" s="493">
        <v>8427</v>
      </c>
      <c r="R59" s="494">
        <v>379</v>
      </c>
      <c r="S59" s="495">
        <f t="shared" si="19"/>
        <v>19762.197</v>
      </c>
      <c r="T59" s="786">
        <v>8772</v>
      </c>
      <c r="U59" s="788">
        <v>398</v>
      </c>
      <c r="V59" s="498">
        <f t="shared" si="20"/>
        <v>20752.914000000001</v>
      </c>
    </row>
    <row r="60" spans="1:22">
      <c r="A60" s="491" t="s">
        <v>318</v>
      </c>
      <c r="B60" s="496">
        <v>2025</v>
      </c>
      <c r="C60" s="492">
        <v>481</v>
      </c>
      <c r="D60" s="498">
        <f t="shared" si="14"/>
        <v>25080.782999999999</v>
      </c>
      <c r="E60" s="493">
        <v>2037</v>
      </c>
      <c r="F60" s="494">
        <v>502</v>
      </c>
      <c r="G60" s="495">
        <f t="shared" si="15"/>
        <v>26175.786</v>
      </c>
      <c r="H60" s="496">
        <v>2105</v>
      </c>
      <c r="I60" s="497">
        <v>527</v>
      </c>
      <c r="J60" s="498">
        <f t="shared" si="16"/>
        <v>27479.361000000001</v>
      </c>
      <c r="K60" s="493">
        <v>2206</v>
      </c>
      <c r="L60" s="494">
        <v>556</v>
      </c>
      <c r="M60" s="495">
        <f t="shared" si="17"/>
        <v>28991.508000000002</v>
      </c>
      <c r="N60" s="496">
        <v>2245</v>
      </c>
      <c r="O60" s="497">
        <v>565</v>
      </c>
      <c r="P60" s="498">
        <f t="shared" si="18"/>
        <v>29460.795000000002</v>
      </c>
      <c r="Q60" s="493">
        <v>2214</v>
      </c>
      <c r="R60" s="494">
        <v>592</v>
      </c>
      <c r="S60" s="495">
        <f t="shared" si="19"/>
        <v>30868.655999999999</v>
      </c>
      <c r="T60" s="786">
        <v>2184</v>
      </c>
      <c r="U60" s="788">
        <v>615</v>
      </c>
      <c r="V60" s="498">
        <f t="shared" si="20"/>
        <v>32067.945</v>
      </c>
    </row>
    <row r="61" spans="1:22" ht="15.75" thickBot="1">
      <c r="A61" s="500" t="s">
        <v>319</v>
      </c>
      <c r="B61" s="505">
        <v>2759</v>
      </c>
      <c r="C61" s="501">
        <v>1213</v>
      </c>
      <c r="D61" s="507">
        <f t="shared" si="14"/>
        <v>63249.459000000003</v>
      </c>
      <c r="E61" s="502">
        <v>2772</v>
      </c>
      <c r="F61" s="503">
        <v>1233</v>
      </c>
      <c r="G61" s="504">
        <f t="shared" si="15"/>
        <v>64292.319000000003</v>
      </c>
      <c r="H61" s="505">
        <v>2793</v>
      </c>
      <c r="I61" s="506">
        <v>1256</v>
      </c>
      <c r="J61" s="507">
        <f t="shared" si="16"/>
        <v>65491.608</v>
      </c>
      <c r="K61" s="502">
        <v>2817</v>
      </c>
      <c r="L61" s="503">
        <v>1298</v>
      </c>
      <c r="M61" s="504">
        <f t="shared" si="17"/>
        <v>67681.614000000001</v>
      </c>
      <c r="N61" s="505">
        <v>2872</v>
      </c>
      <c r="O61" s="506">
        <v>1319</v>
      </c>
      <c r="P61" s="507">
        <f t="shared" si="18"/>
        <v>68776.616999999998</v>
      </c>
      <c r="Q61" s="502">
        <v>2894</v>
      </c>
      <c r="R61" s="503">
        <v>1363</v>
      </c>
      <c r="S61" s="504">
        <f t="shared" si="19"/>
        <v>71070.909</v>
      </c>
      <c r="T61" s="787">
        <v>2902</v>
      </c>
      <c r="U61" s="790">
        <v>1434</v>
      </c>
      <c r="V61" s="507">
        <f t="shared" si="20"/>
        <v>74773.062000000005</v>
      </c>
    </row>
    <row r="63" spans="1:22" ht="15.75" thickBot="1"/>
    <row r="64" spans="1:22" ht="30.75" thickBot="1">
      <c r="B64" s="516" t="s">
        <v>325</v>
      </c>
      <c r="C64" s="517" t="s">
        <v>322</v>
      </c>
      <c r="D64" s="518" t="s">
        <v>323</v>
      </c>
    </row>
    <row r="65" spans="2:23" ht="15.75">
      <c r="B65"/>
      <c r="C65" s="522">
        <f>Q50-B50</f>
        <v>6236</v>
      </c>
      <c r="D65" s="521">
        <f>C65/B50</f>
        <v>7.3240627642581976E-2</v>
      </c>
      <c r="E65" s="515"/>
      <c r="F65" s="515"/>
      <c r="G65" s="515"/>
      <c r="H65" s="515"/>
      <c r="I65" s="515"/>
      <c r="J65" s="515"/>
      <c r="K65" s="515"/>
      <c r="L65" s="515"/>
      <c r="M65" s="515"/>
      <c r="N65" s="515"/>
      <c r="O65" s="515"/>
      <c r="P65" s="515"/>
      <c r="Q65" s="515"/>
      <c r="R65" s="515"/>
      <c r="S65" s="515"/>
      <c r="T65" s="515"/>
      <c r="U65" s="515"/>
      <c r="V65" s="515"/>
    </row>
    <row r="66" spans="2:23" ht="16.5" thickBot="1">
      <c r="B66"/>
      <c r="C66" s="11"/>
      <c r="E66" s="512"/>
      <c r="F66" s="511"/>
      <c r="G66" s="512"/>
      <c r="H66" s="512"/>
      <c r="I66" s="511"/>
      <c r="J66" s="512"/>
      <c r="K66" s="512"/>
      <c r="L66" s="511"/>
      <c r="M66" s="512"/>
      <c r="N66" s="512"/>
      <c r="O66" s="511"/>
      <c r="P66" s="512"/>
      <c r="Q66" s="512"/>
      <c r="R66" s="511"/>
      <c r="S66" s="512"/>
      <c r="T66" s="512"/>
      <c r="U66" s="511"/>
      <c r="V66" s="512"/>
    </row>
    <row r="67" spans="2:23" ht="30.75" thickBot="1">
      <c r="B67" s="519" t="s">
        <v>327</v>
      </c>
      <c r="C67" s="517" t="s">
        <v>322</v>
      </c>
      <c r="D67" s="518" t="s">
        <v>323</v>
      </c>
      <c r="E67" s="11"/>
      <c r="F67" s="513"/>
      <c r="G67" s="513"/>
      <c r="H67" s="11"/>
      <c r="I67" s="513"/>
      <c r="J67" s="513"/>
      <c r="K67" s="11"/>
      <c r="L67" s="513"/>
      <c r="M67" s="513"/>
      <c r="N67" s="11"/>
      <c r="O67" s="513"/>
      <c r="P67" s="513"/>
      <c r="Q67" s="11"/>
      <c r="R67" s="513"/>
      <c r="S67" s="513"/>
      <c r="T67" s="514"/>
      <c r="U67" s="514"/>
      <c r="V67" s="513"/>
    </row>
    <row r="68" spans="2:23">
      <c r="B68"/>
      <c r="C68" s="520">
        <f>S50-D50</f>
        <v>7665.0210000000006</v>
      </c>
      <c r="D68" s="521">
        <f>C68/D50</f>
        <v>0.14230396902226528</v>
      </c>
      <c r="E68" s="11"/>
      <c r="F68" s="513"/>
      <c r="G68" s="513"/>
      <c r="H68" s="11"/>
      <c r="I68" s="513"/>
      <c r="J68" s="513"/>
      <c r="K68" s="11"/>
      <c r="L68" s="513"/>
      <c r="M68" s="513"/>
      <c r="N68" s="11"/>
      <c r="O68" s="513"/>
      <c r="P68" s="513"/>
      <c r="Q68" s="11"/>
      <c r="R68" s="513"/>
      <c r="S68" s="513"/>
      <c r="T68" s="514"/>
      <c r="U68" s="514"/>
      <c r="V68" s="513"/>
    </row>
    <row r="69" spans="2:23">
      <c r="C69" s="508"/>
      <c r="D69" s="513"/>
      <c r="E69" s="11"/>
      <c r="F69" s="513"/>
      <c r="G69" s="513"/>
      <c r="H69" s="11"/>
      <c r="I69" s="513"/>
      <c r="J69" s="513"/>
      <c r="K69" s="11"/>
      <c r="L69" s="513"/>
      <c r="M69" s="513"/>
      <c r="N69" s="11"/>
      <c r="O69" s="513"/>
      <c r="P69" s="513"/>
      <c r="Q69" s="11"/>
      <c r="R69" s="513"/>
      <c r="S69" s="513"/>
      <c r="T69" s="514"/>
      <c r="U69" s="514"/>
      <c r="V69" s="513"/>
    </row>
    <row r="70" spans="2:23">
      <c r="C70" s="508"/>
      <c r="D70" s="513"/>
      <c r="E70" s="11"/>
      <c r="F70" s="513"/>
      <c r="G70" s="513"/>
      <c r="H70" s="11"/>
      <c r="I70" s="513"/>
      <c r="J70" s="513"/>
      <c r="K70" s="11"/>
      <c r="L70" s="513"/>
      <c r="M70" s="513"/>
      <c r="N70" s="11"/>
      <c r="O70" s="513"/>
      <c r="P70" s="513"/>
      <c r="Q70" s="11"/>
      <c r="R70" s="513"/>
      <c r="S70" s="513"/>
      <c r="T70" s="514"/>
      <c r="U70" s="514"/>
      <c r="V70" s="513"/>
    </row>
    <row r="71" spans="2:23">
      <c r="C71" s="508"/>
      <c r="D71" s="513"/>
      <c r="E71" s="11"/>
      <c r="F71" s="513"/>
      <c r="G71" s="513"/>
      <c r="H71" s="11"/>
      <c r="I71" s="513"/>
      <c r="J71" s="513"/>
      <c r="K71" s="11"/>
      <c r="L71" s="513"/>
      <c r="M71" s="513"/>
      <c r="N71" s="11"/>
      <c r="O71" s="513"/>
      <c r="P71" s="513"/>
      <c r="Q71" s="11"/>
      <c r="R71" s="513"/>
      <c r="S71" s="513"/>
      <c r="T71" s="514"/>
      <c r="U71" s="514"/>
      <c r="V71" s="513"/>
    </row>
    <row r="72" spans="2:23">
      <c r="C72" s="508"/>
      <c r="D72" s="513"/>
      <c r="E72" s="11"/>
      <c r="F72" s="513"/>
      <c r="G72" s="513"/>
      <c r="H72" s="11"/>
      <c r="I72" s="513"/>
      <c r="J72" s="513"/>
      <c r="K72" s="11"/>
      <c r="L72" s="513"/>
      <c r="M72" s="513"/>
      <c r="N72" s="11"/>
      <c r="O72" s="513"/>
      <c r="P72" s="513"/>
      <c r="Q72" s="11"/>
      <c r="R72" s="513"/>
      <c r="S72" s="513"/>
      <c r="T72" s="514"/>
      <c r="U72" s="514"/>
      <c r="V72" s="513"/>
    </row>
    <row r="73" spans="2:23">
      <c r="B73" s="11" t="s">
        <v>416</v>
      </c>
      <c r="C73" s="508" t="s">
        <v>415</v>
      </c>
      <c r="D73" s="513" t="s">
        <v>29</v>
      </c>
      <c r="E73" s="11" t="s">
        <v>26</v>
      </c>
      <c r="F73" s="513"/>
      <c r="G73" s="11" t="s">
        <v>417</v>
      </c>
      <c r="H73" s="508" t="s">
        <v>415</v>
      </c>
      <c r="I73" s="513" t="s">
        <v>29</v>
      </c>
      <c r="J73" s="11" t="s">
        <v>26</v>
      </c>
      <c r="K73" s="11"/>
      <c r="L73" s="513" t="s">
        <v>421</v>
      </c>
      <c r="M73" s="513" t="s">
        <v>418</v>
      </c>
      <c r="N73" s="11" t="s">
        <v>422</v>
      </c>
      <c r="O73" s="513" t="s">
        <v>423</v>
      </c>
      <c r="P73" s="513"/>
      <c r="Q73" s="11" t="s">
        <v>420</v>
      </c>
      <c r="R73" s="513" t="s">
        <v>419</v>
      </c>
      <c r="S73" s="513" t="s">
        <v>272</v>
      </c>
      <c r="T73" s="514"/>
      <c r="U73" s="11" t="s">
        <v>424</v>
      </c>
      <c r="V73" s="508" t="s">
        <v>425</v>
      </c>
      <c r="W73" t="s">
        <v>426</v>
      </c>
    </row>
    <row r="74" spans="2:23">
      <c r="B74" s="583">
        <v>2012</v>
      </c>
      <c r="C74" s="11">
        <v>85144</v>
      </c>
      <c r="D74" s="11">
        <v>91020</v>
      </c>
      <c r="E74" s="11">
        <v>2644935</v>
      </c>
      <c r="F74" s="513"/>
      <c r="G74" s="583">
        <v>2012</v>
      </c>
      <c r="H74" s="508">
        <v>53864</v>
      </c>
      <c r="I74" s="11">
        <v>52560</v>
      </c>
      <c r="J74" s="11">
        <v>49484</v>
      </c>
      <c r="K74" s="11"/>
      <c r="L74" s="513" t="s">
        <v>27</v>
      </c>
      <c r="M74" s="11">
        <v>91380</v>
      </c>
      <c r="N74" s="11">
        <v>6236</v>
      </c>
      <c r="O74" s="32">
        <v>7.3200000000000001E-2</v>
      </c>
      <c r="P74" s="513" t="s">
        <v>27</v>
      </c>
      <c r="Q74" s="11">
        <v>61529</v>
      </c>
      <c r="R74" s="513">
        <v>7665</v>
      </c>
      <c r="S74" s="32">
        <v>0.14230000000000001</v>
      </c>
      <c r="T74" s="514"/>
      <c r="U74" s="583">
        <v>2012</v>
      </c>
      <c r="V74" s="11">
        <v>85144</v>
      </c>
      <c r="W74" s="513">
        <v>53864</v>
      </c>
    </row>
    <row r="75" spans="2:23">
      <c r="B75" s="583">
        <v>2013</v>
      </c>
      <c r="C75" s="11">
        <v>86347</v>
      </c>
      <c r="D75" s="11">
        <v>92442</v>
      </c>
      <c r="E75" s="11">
        <v>2692170</v>
      </c>
      <c r="F75" s="513"/>
      <c r="G75" s="583">
        <v>2013</v>
      </c>
      <c r="H75" s="508">
        <v>54646</v>
      </c>
      <c r="I75" s="11">
        <v>53499</v>
      </c>
      <c r="J75" s="11">
        <v>50266</v>
      </c>
      <c r="K75" s="11"/>
      <c r="L75" s="513" t="s">
        <v>29</v>
      </c>
      <c r="M75" s="11">
        <v>98111</v>
      </c>
      <c r="N75" s="11">
        <v>7091</v>
      </c>
      <c r="O75" s="32">
        <v>7.7899999999999997E-2</v>
      </c>
      <c r="P75" s="513" t="s">
        <v>29</v>
      </c>
      <c r="Q75" s="11">
        <v>60069</v>
      </c>
      <c r="R75" s="513">
        <v>7509</v>
      </c>
      <c r="S75" s="32">
        <v>0.1429</v>
      </c>
      <c r="T75" s="514"/>
      <c r="U75" s="583">
        <v>2013</v>
      </c>
      <c r="V75" s="11">
        <v>86347</v>
      </c>
      <c r="W75" s="513">
        <v>54646</v>
      </c>
    </row>
    <row r="76" spans="2:23">
      <c r="B76" s="583">
        <v>2014</v>
      </c>
      <c r="C76" s="11">
        <v>86053</v>
      </c>
      <c r="D76" s="11">
        <v>92298</v>
      </c>
      <c r="E76" s="11">
        <v>2729613</v>
      </c>
      <c r="F76" s="513"/>
      <c r="G76" s="583">
        <v>2014</v>
      </c>
      <c r="H76" s="508">
        <v>55949</v>
      </c>
      <c r="I76" s="11">
        <v>54594</v>
      </c>
      <c r="J76" s="11">
        <v>51726</v>
      </c>
      <c r="K76" s="11"/>
      <c r="L76" s="513" t="s">
        <v>26</v>
      </c>
      <c r="M76" s="11">
        <v>2853730</v>
      </c>
      <c r="N76" s="11">
        <v>208795</v>
      </c>
      <c r="O76" s="32">
        <v>7.8899999999999998E-2</v>
      </c>
      <c r="P76" s="513" t="s">
        <v>26</v>
      </c>
      <c r="Q76" s="11">
        <v>56314</v>
      </c>
      <c r="R76" s="11">
        <v>6831</v>
      </c>
      <c r="S76" s="32">
        <v>0.13800000000000001</v>
      </c>
      <c r="T76" s="514"/>
      <c r="U76" s="583">
        <v>2014</v>
      </c>
      <c r="V76" s="11">
        <v>86053</v>
      </c>
      <c r="W76" s="513">
        <v>55949</v>
      </c>
    </row>
    <row r="77" spans="2:23">
      <c r="B77" s="583">
        <v>2015</v>
      </c>
      <c r="C77" s="11">
        <v>87447</v>
      </c>
      <c r="D77" s="11">
        <v>93886</v>
      </c>
      <c r="E77" s="11">
        <v>2774426</v>
      </c>
      <c r="F77" s="513"/>
      <c r="G77" s="583">
        <v>2015</v>
      </c>
      <c r="H77" s="508">
        <v>57722</v>
      </c>
      <c r="I77" s="11">
        <v>56314</v>
      </c>
      <c r="J77" s="11">
        <v>53707</v>
      </c>
      <c r="K77" s="11"/>
      <c r="L77" s="513"/>
      <c r="M77" s="513"/>
      <c r="N77" s="11"/>
      <c r="O77" s="513"/>
      <c r="P77" s="513"/>
      <c r="Q77" s="11"/>
      <c r="R77" s="513"/>
      <c r="S77" s="513"/>
      <c r="T77" s="514"/>
      <c r="U77" s="583">
        <v>2015</v>
      </c>
      <c r="V77" s="11">
        <v>87447</v>
      </c>
      <c r="W77" s="513">
        <v>57722</v>
      </c>
    </row>
    <row r="78" spans="2:23">
      <c r="B78" s="583">
        <v>2016</v>
      </c>
      <c r="C78" s="11">
        <v>89534</v>
      </c>
      <c r="D78" s="11">
        <v>96128</v>
      </c>
      <c r="E78" s="11">
        <v>2814002</v>
      </c>
      <c r="F78" s="513"/>
      <c r="G78" s="583">
        <v>2016</v>
      </c>
      <c r="H78" s="508">
        <v>59026</v>
      </c>
      <c r="I78" s="11">
        <v>57670</v>
      </c>
      <c r="J78" s="11">
        <v>54437</v>
      </c>
      <c r="K78" s="11"/>
      <c r="L78" s="513"/>
      <c r="M78" s="513"/>
      <c r="N78" s="11"/>
      <c r="O78" s="513"/>
      <c r="P78" s="513"/>
      <c r="Q78" s="11"/>
      <c r="R78" s="513"/>
      <c r="S78" s="513"/>
      <c r="T78" s="514"/>
      <c r="U78" s="583">
        <v>2016</v>
      </c>
      <c r="V78" s="11">
        <v>89534</v>
      </c>
      <c r="W78" s="513">
        <v>59026</v>
      </c>
    </row>
    <row r="79" spans="2:23">
      <c r="B79" s="583">
        <v>2017</v>
      </c>
      <c r="C79" s="11">
        <v>91380</v>
      </c>
      <c r="D79" s="11">
        <v>98111</v>
      </c>
      <c r="E79" s="11">
        <v>2853730</v>
      </c>
      <c r="G79" s="583">
        <v>2017</v>
      </c>
      <c r="H79" s="508">
        <v>61529</v>
      </c>
      <c r="I79" s="11">
        <v>60069</v>
      </c>
      <c r="J79" s="11">
        <v>56314</v>
      </c>
      <c r="U79" s="583">
        <v>2017</v>
      </c>
      <c r="V79" s="11">
        <v>91380</v>
      </c>
      <c r="W79" s="513">
        <v>61529</v>
      </c>
    </row>
    <row r="82" spans="2:2">
      <c r="B82" s="514"/>
    </row>
    <row r="83" spans="2:2">
      <c r="B83" s="514"/>
    </row>
    <row r="84" spans="2:2">
      <c r="B84" s="514"/>
    </row>
    <row r="85" spans="2:2">
      <c r="B85" s="514"/>
    </row>
    <row r="86" spans="2:2">
      <c r="B86" s="514"/>
    </row>
    <row r="87" spans="2:2">
      <c r="B87" s="514"/>
    </row>
    <row r="88" spans="2:2">
      <c r="B88" s="514"/>
    </row>
    <row r="89" spans="2:2">
      <c r="B89" s="514"/>
    </row>
  </sheetData>
  <mergeCells count="25">
    <mergeCell ref="N27:P27"/>
    <mergeCell ref="Q27:S27"/>
    <mergeCell ref="T27:V27"/>
    <mergeCell ref="A5:A6"/>
    <mergeCell ref="B5:D5"/>
    <mergeCell ref="E5:G5"/>
    <mergeCell ref="H5:J5"/>
    <mergeCell ref="K5:M5"/>
    <mergeCell ref="N5:P5"/>
    <mergeCell ref="A1:E1"/>
    <mergeCell ref="Q48:S48"/>
    <mergeCell ref="T48:V48"/>
    <mergeCell ref="A48:A49"/>
    <mergeCell ref="B48:D48"/>
    <mergeCell ref="E48:G48"/>
    <mergeCell ref="H48:J48"/>
    <mergeCell ref="K48:M48"/>
    <mergeCell ref="N48:P48"/>
    <mergeCell ref="Q5:S5"/>
    <mergeCell ref="T5:V5"/>
    <mergeCell ref="A27:A28"/>
    <mergeCell ref="B27:D27"/>
    <mergeCell ref="E27:G27"/>
    <mergeCell ref="H27:J27"/>
    <mergeCell ref="K27:M27"/>
  </mergeCells>
  <hyperlinks>
    <hyperlink ref="A2" r:id="rId1"/>
  </hyperlinks>
  <pageMargins left="0.7" right="0.7" top="0.75" bottom="0.75" header="0.3" footer="0.3"/>
  <pageSetup orientation="portrait" horizontalDpi="0" verticalDpi="0" r:id="rId2"/>
  <drawing r:id="rId3"/>
  <tableParts count="1">
    <tablePart r:id="rId4"/>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K28"/>
  <sheetViews>
    <sheetView workbookViewId="0">
      <selection activeCell="A31" sqref="A31"/>
    </sheetView>
  </sheetViews>
  <sheetFormatPr defaultColWidth="8.85546875" defaultRowHeight="15"/>
  <cols>
    <col min="1" max="1" width="80.140625" bestFit="1" customWidth="1"/>
    <col min="10" max="10" width="12.85546875" customWidth="1"/>
    <col min="11" max="11" width="12.7109375" customWidth="1"/>
  </cols>
  <sheetData>
    <row r="1" spans="1:11" ht="18" customHeight="1">
      <c r="A1" s="48" t="s">
        <v>108</v>
      </c>
      <c r="K1" s="67"/>
    </row>
    <row r="2" spans="1:11" ht="18.75">
      <c r="A2" s="49"/>
      <c r="B2" s="46">
        <v>2012</v>
      </c>
      <c r="C2" s="46">
        <v>2013</v>
      </c>
      <c r="D2" s="46">
        <v>2014</v>
      </c>
      <c r="E2" s="46">
        <v>2015</v>
      </c>
      <c r="F2" s="46">
        <v>2016</v>
      </c>
      <c r="G2" s="46">
        <v>2017</v>
      </c>
      <c r="H2" s="46">
        <v>2018</v>
      </c>
      <c r="I2" s="46"/>
      <c r="J2" t="s">
        <v>76</v>
      </c>
    </row>
    <row r="3" spans="1:11" ht="15.75">
      <c r="A3" s="27" t="s">
        <v>29</v>
      </c>
    </row>
    <row r="4" spans="1:11">
      <c r="A4" t="s">
        <v>14</v>
      </c>
      <c r="B4" s="74">
        <v>0.65181058495821731</v>
      </c>
      <c r="C4" s="74">
        <v>0.69589041095890414</v>
      </c>
      <c r="D4" s="74">
        <v>0.76859504132231404</v>
      </c>
      <c r="E4" s="61">
        <v>0.79726027397260268</v>
      </c>
      <c r="F4" s="61">
        <v>0.85245901639344257</v>
      </c>
      <c r="G4" s="61">
        <v>0.85</v>
      </c>
      <c r="H4" s="61">
        <v>0.8</v>
      </c>
      <c r="I4" s="61"/>
      <c r="J4" t="s">
        <v>155</v>
      </c>
    </row>
    <row r="5" spans="1:11">
      <c r="B5" s="74"/>
      <c r="C5" s="74"/>
      <c r="D5" s="74"/>
      <c r="E5" s="61"/>
      <c r="F5" s="61"/>
      <c r="G5" s="61"/>
      <c r="H5" s="61"/>
      <c r="I5" s="61"/>
    </row>
    <row r="6" spans="1:11" ht="15.75">
      <c r="A6" s="27" t="s">
        <v>27</v>
      </c>
      <c r="B6" s="74"/>
      <c r="C6" s="74"/>
      <c r="D6" s="74"/>
      <c r="E6" s="61"/>
      <c r="F6" s="61"/>
      <c r="G6" s="61"/>
      <c r="H6" s="61"/>
      <c r="I6" s="61"/>
    </row>
    <row r="8" spans="1:11">
      <c r="A8" t="s">
        <v>14</v>
      </c>
      <c r="B8" s="61">
        <v>0.73</v>
      </c>
      <c r="C8" s="61">
        <v>0.78</v>
      </c>
      <c r="D8" s="61">
        <v>0.83</v>
      </c>
      <c r="E8" s="61">
        <v>0.86</v>
      </c>
      <c r="F8" s="61">
        <v>0.9</v>
      </c>
      <c r="G8" s="61">
        <v>0.86</v>
      </c>
      <c r="H8" s="61">
        <v>0.81</v>
      </c>
      <c r="J8" t="s">
        <v>283</v>
      </c>
    </row>
    <row r="10" spans="1:11">
      <c r="A10" t="s">
        <v>12</v>
      </c>
      <c r="B10" s="55" t="s">
        <v>126</v>
      </c>
      <c r="C10" s="92" t="s">
        <v>60</v>
      </c>
      <c r="D10" s="55" t="s">
        <v>126</v>
      </c>
      <c r="E10" s="55" t="s">
        <v>126</v>
      </c>
      <c r="F10" s="55" t="s">
        <v>126</v>
      </c>
      <c r="G10" s="55"/>
      <c r="H10" s="55"/>
      <c r="I10" s="55"/>
      <c r="J10" t="s">
        <v>6</v>
      </c>
    </row>
    <row r="11" spans="1:11">
      <c r="A11" t="s">
        <v>13</v>
      </c>
      <c r="B11" s="55" t="s">
        <v>126</v>
      </c>
      <c r="C11" t="s">
        <v>183</v>
      </c>
      <c r="D11" s="55" t="s">
        <v>126</v>
      </c>
      <c r="E11" s="55" t="s">
        <v>126</v>
      </c>
      <c r="F11" s="55" t="s">
        <v>126</v>
      </c>
      <c r="G11" s="55"/>
      <c r="H11" s="55"/>
      <c r="I11" s="55"/>
    </row>
    <row r="12" spans="1:11">
      <c r="A12" t="s">
        <v>184</v>
      </c>
      <c r="B12" s="55"/>
      <c r="C12" s="5">
        <v>1930822</v>
      </c>
      <c r="D12" s="55"/>
      <c r="E12" s="55"/>
      <c r="F12" s="55" t="s">
        <v>126</v>
      </c>
      <c r="G12" s="55"/>
      <c r="H12" s="55"/>
      <c r="I12" s="55"/>
    </row>
    <row r="13" spans="1:11">
      <c r="A13" t="s">
        <v>74</v>
      </c>
    </row>
    <row r="14" spans="1:11">
      <c r="A14" s="43" t="s">
        <v>67</v>
      </c>
      <c r="B14">
        <v>13031.947</v>
      </c>
      <c r="C14">
        <v>12946.563</v>
      </c>
      <c r="D14">
        <v>12749.236000000001</v>
      </c>
      <c r="E14">
        <v>12835.128000000001</v>
      </c>
      <c r="F14">
        <v>16097.447</v>
      </c>
      <c r="G14" s="846">
        <v>11836</v>
      </c>
      <c r="H14" s="846">
        <v>17566</v>
      </c>
      <c r="J14" t="s">
        <v>194</v>
      </c>
    </row>
    <row r="15" spans="1:11">
      <c r="A15" s="43" t="s">
        <v>68</v>
      </c>
      <c r="B15" s="55" t="s">
        <v>126</v>
      </c>
      <c r="C15">
        <v>0.183</v>
      </c>
      <c r="D15">
        <v>0.24159999999999998</v>
      </c>
      <c r="E15">
        <v>0.39</v>
      </c>
      <c r="F15">
        <v>0.46</v>
      </c>
      <c r="G15">
        <v>0.58299999999999996</v>
      </c>
      <c r="H15" s="794">
        <v>0.74099999999999999</v>
      </c>
      <c r="J15" t="s">
        <v>193</v>
      </c>
    </row>
    <row r="16" spans="1:11">
      <c r="A16" s="43" t="s">
        <v>69</v>
      </c>
      <c r="B16" s="55" t="s">
        <v>126</v>
      </c>
      <c r="C16">
        <v>24</v>
      </c>
      <c r="D16">
        <v>33</v>
      </c>
      <c r="E16">
        <v>56</v>
      </c>
      <c r="F16">
        <v>64</v>
      </c>
      <c r="G16" s="120">
        <v>78</v>
      </c>
      <c r="H16" s="794">
        <v>94</v>
      </c>
      <c r="J16" t="s">
        <v>193</v>
      </c>
    </row>
    <row r="17" spans="1:10">
      <c r="A17" s="43" t="s">
        <v>70</v>
      </c>
      <c r="B17" s="55" t="s">
        <v>126</v>
      </c>
      <c r="C17">
        <v>3.0000000000000001E-3</v>
      </c>
      <c r="D17">
        <v>3.0000000000000001E-3</v>
      </c>
      <c r="E17">
        <v>3.0000000000000001E-3</v>
      </c>
      <c r="F17">
        <v>3.0000000000000001E-3</v>
      </c>
      <c r="G17">
        <v>3.0000000000000001E-3</v>
      </c>
      <c r="H17">
        <v>3.0000000000000001E-3</v>
      </c>
      <c r="J17" t="s">
        <v>193</v>
      </c>
    </row>
    <row r="18" spans="1:10">
      <c r="A18" s="43" t="s">
        <v>71</v>
      </c>
      <c r="B18" s="55" t="s">
        <v>126</v>
      </c>
      <c r="C18">
        <v>1</v>
      </c>
      <c r="D18">
        <v>1</v>
      </c>
      <c r="E18">
        <v>1</v>
      </c>
      <c r="F18">
        <v>1</v>
      </c>
      <c r="G18" s="120">
        <v>1</v>
      </c>
      <c r="H18" s="120">
        <v>1</v>
      </c>
      <c r="J18" t="s">
        <v>193</v>
      </c>
    </row>
    <row r="19" spans="1:10">
      <c r="A19" s="43" t="s">
        <v>72</v>
      </c>
      <c r="B19" s="55" t="s">
        <v>126</v>
      </c>
      <c r="C19">
        <v>0</v>
      </c>
      <c r="D19">
        <v>0</v>
      </c>
      <c r="E19">
        <v>0</v>
      </c>
      <c r="F19">
        <v>0</v>
      </c>
      <c r="G19">
        <v>0</v>
      </c>
      <c r="H19">
        <v>0</v>
      </c>
      <c r="J19" t="s">
        <v>193</v>
      </c>
    </row>
    <row r="20" spans="1:10">
      <c r="A20" s="43" t="s">
        <v>73</v>
      </c>
      <c r="B20" s="55" t="s">
        <v>126</v>
      </c>
      <c r="C20">
        <v>0</v>
      </c>
      <c r="D20">
        <v>0</v>
      </c>
      <c r="E20">
        <v>0</v>
      </c>
      <c r="F20">
        <v>0</v>
      </c>
      <c r="G20" s="120">
        <v>0</v>
      </c>
      <c r="H20" s="120">
        <v>0</v>
      </c>
      <c r="J20" t="s">
        <v>193</v>
      </c>
    </row>
    <row r="21" spans="1:10">
      <c r="A21" s="43"/>
      <c r="B21" s="55"/>
    </row>
    <row r="22" spans="1:10">
      <c r="A22" t="s">
        <v>75</v>
      </c>
    </row>
    <row r="23" spans="1:10">
      <c r="A23" s="43" t="s">
        <v>181</v>
      </c>
    </row>
    <row r="25" spans="1:10" ht="15.75" hidden="1">
      <c r="A25" s="27" t="s">
        <v>1</v>
      </c>
    </row>
    <row r="26" spans="1:10" hidden="1">
      <c r="A26" t="s">
        <v>15</v>
      </c>
      <c r="B26" t="s">
        <v>77</v>
      </c>
    </row>
    <row r="27" spans="1:10" hidden="1">
      <c r="A27" t="s">
        <v>16</v>
      </c>
      <c r="B27" t="s">
        <v>77</v>
      </c>
    </row>
    <row r="28" spans="1:10" hidden="1">
      <c r="A28" t="s">
        <v>17</v>
      </c>
      <c r="B28" t="s">
        <v>77</v>
      </c>
    </row>
  </sheetData>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B28"/>
  <sheetViews>
    <sheetView topLeftCell="I1" zoomScale="75" workbookViewId="0">
      <selection activeCell="Z12" sqref="Z12"/>
    </sheetView>
  </sheetViews>
  <sheetFormatPr defaultColWidth="8.85546875" defaultRowHeight="15"/>
  <cols>
    <col min="1" max="1" width="20.28515625" customWidth="1"/>
    <col min="2" max="3" width="16.7109375" style="18" customWidth="1"/>
    <col min="4" max="4" width="16.7109375" style="25" customWidth="1"/>
    <col min="5" max="6" width="16.7109375" style="18" customWidth="1"/>
    <col min="7" max="7" width="16.7109375" style="25" customWidth="1"/>
    <col min="8" max="9" width="16.7109375" customWidth="1"/>
    <col min="10" max="10" width="16.7109375" style="24" customWidth="1"/>
    <col min="11" max="11" width="15.42578125" customWidth="1"/>
    <col min="12" max="12" width="14.42578125" customWidth="1"/>
    <col min="13" max="13" width="14.85546875" customWidth="1"/>
    <col min="14" max="18" width="12.42578125" customWidth="1"/>
    <col min="19" max="19" width="12.7109375" customWidth="1"/>
    <col min="20" max="20" width="13.7109375" customWidth="1"/>
    <col min="21" max="21" width="13" customWidth="1"/>
    <col min="22" max="22" width="14.140625" customWidth="1"/>
    <col min="23" max="23" width="14" customWidth="1"/>
    <col min="24" max="28" width="14.140625" customWidth="1"/>
  </cols>
  <sheetData>
    <row r="1" spans="1:28" ht="18.75">
      <c r="A1" s="48" t="s">
        <v>111</v>
      </c>
      <c r="B1" s="2"/>
    </row>
    <row r="2" spans="1:28" ht="15.75" thickBot="1"/>
    <row r="3" spans="1:28" ht="19.350000000000001" customHeight="1" thickBot="1">
      <c r="B3" s="870">
        <v>2012</v>
      </c>
      <c r="C3" s="871"/>
      <c r="D3" s="872"/>
      <c r="E3" s="870">
        <v>2013</v>
      </c>
      <c r="F3" s="871">
        <v>2013</v>
      </c>
      <c r="G3" s="872">
        <v>2013</v>
      </c>
      <c r="H3" s="870">
        <v>2014</v>
      </c>
      <c r="I3" s="871">
        <v>2014</v>
      </c>
      <c r="J3" s="872">
        <v>2014</v>
      </c>
      <c r="K3" s="870">
        <v>2015</v>
      </c>
      <c r="L3" s="871"/>
      <c r="M3" s="871"/>
      <c r="N3" s="870">
        <v>2016</v>
      </c>
      <c r="O3" s="871"/>
      <c r="P3" s="871"/>
      <c r="Q3" s="871"/>
      <c r="R3" s="872"/>
      <c r="S3" s="867">
        <v>2017</v>
      </c>
      <c r="T3" s="868"/>
      <c r="U3" s="868"/>
      <c r="V3" s="868"/>
      <c r="W3" s="869"/>
      <c r="X3" s="867">
        <v>2018</v>
      </c>
      <c r="Y3" s="868"/>
      <c r="Z3" s="868"/>
      <c r="AA3" s="868"/>
      <c r="AB3" s="869"/>
    </row>
    <row r="4" spans="1:28" ht="75.75">
      <c r="A4" s="23"/>
      <c r="B4" s="21" t="s">
        <v>36</v>
      </c>
      <c r="C4" s="21" t="s">
        <v>37</v>
      </c>
      <c r="D4" s="22" t="s">
        <v>38</v>
      </c>
      <c r="E4" s="21" t="s">
        <v>36</v>
      </c>
      <c r="F4" s="21" t="s">
        <v>37</v>
      </c>
      <c r="G4" s="22" t="s">
        <v>38</v>
      </c>
      <c r="H4" s="21" t="s">
        <v>36</v>
      </c>
      <c r="I4" s="21" t="s">
        <v>37</v>
      </c>
      <c r="J4" s="22" t="s">
        <v>38</v>
      </c>
      <c r="K4" s="21" t="s">
        <v>36</v>
      </c>
      <c r="L4" s="21" t="s">
        <v>37</v>
      </c>
      <c r="M4" s="22" t="s">
        <v>38</v>
      </c>
      <c r="N4" s="21" t="s">
        <v>36</v>
      </c>
      <c r="O4" s="21" t="s">
        <v>37</v>
      </c>
      <c r="P4" s="22" t="s">
        <v>38</v>
      </c>
      <c r="Q4" s="71" t="s">
        <v>152</v>
      </c>
      <c r="R4" s="71" t="s">
        <v>151</v>
      </c>
      <c r="S4" s="21" t="s">
        <v>36</v>
      </c>
      <c r="T4" s="21" t="s">
        <v>37</v>
      </c>
      <c r="U4" s="22" t="s">
        <v>38</v>
      </c>
      <c r="V4" s="71" t="s">
        <v>152</v>
      </c>
      <c r="W4" s="71" t="s">
        <v>151</v>
      </c>
      <c r="X4" s="21" t="s">
        <v>36</v>
      </c>
      <c r="Y4" s="21" t="s">
        <v>37</v>
      </c>
      <c r="Z4" s="22" t="s">
        <v>38</v>
      </c>
      <c r="AA4" s="71" t="s">
        <v>152</v>
      </c>
      <c r="AB4" s="71" t="s">
        <v>151</v>
      </c>
    </row>
    <row r="5" spans="1:28" ht="15.75">
      <c r="A5" s="27" t="s">
        <v>26</v>
      </c>
      <c r="B5" s="5">
        <v>2591196</v>
      </c>
      <c r="C5" s="11">
        <v>1814168</v>
      </c>
      <c r="D5" s="26">
        <f>C5/B5</f>
        <v>0.70012766305597873</v>
      </c>
      <c r="E5" s="5">
        <v>2638199</v>
      </c>
      <c r="F5" s="5">
        <v>1827015</v>
      </c>
      <c r="G5" s="26">
        <f>F5/E5</f>
        <v>0.69252357384715857</v>
      </c>
      <c r="H5" s="5">
        <v>2667269</v>
      </c>
      <c r="I5" s="11">
        <v>1824918</v>
      </c>
      <c r="J5" s="26">
        <f>I5/H5</f>
        <v>0.68418970864955875</v>
      </c>
      <c r="K5" s="5">
        <v>2703648</v>
      </c>
      <c r="L5" s="12">
        <v>1844700</v>
      </c>
      <c r="M5" s="34">
        <v>0.68230035862656679</v>
      </c>
      <c r="N5" s="5">
        <v>2701150</v>
      </c>
      <c r="O5">
        <v>1852110</v>
      </c>
      <c r="P5" s="29">
        <f>O5/N5</f>
        <v>0.68567462006922975</v>
      </c>
      <c r="S5" s="5">
        <v>2737702</v>
      </c>
      <c r="T5">
        <v>1861637</v>
      </c>
      <c r="U5" s="29">
        <v>0.68</v>
      </c>
      <c r="X5" s="5">
        <v>2745161</v>
      </c>
      <c r="Y5">
        <v>1861268</v>
      </c>
      <c r="Z5" s="29">
        <v>0.67800000000000005</v>
      </c>
    </row>
    <row r="6" spans="1:28" s="19" customFormat="1">
      <c r="A6" s="15" t="s">
        <v>39</v>
      </c>
      <c r="B6" s="28">
        <v>13501</v>
      </c>
      <c r="C6" s="17">
        <v>17515</v>
      </c>
      <c r="D6" s="25"/>
      <c r="E6" s="28">
        <v>12562</v>
      </c>
      <c r="F6" s="19">
        <v>20161</v>
      </c>
      <c r="G6" s="25"/>
      <c r="H6" s="28">
        <v>13500</v>
      </c>
      <c r="I6" s="17">
        <v>18409</v>
      </c>
      <c r="J6" s="36"/>
      <c r="K6" s="28">
        <v>10715</v>
      </c>
      <c r="L6" s="64">
        <v>18756.044918905478</v>
      </c>
      <c r="M6" s="70"/>
      <c r="N6" s="28">
        <v>11132</v>
      </c>
      <c r="O6" s="64">
        <v>19229</v>
      </c>
      <c r="P6" s="103"/>
      <c r="Q6" s="72">
        <f>(O5-O6)/N5</f>
        <v>0.67855580030727658</v>
      </c>
      <c r="R6" s="35">
        <f>(O5+O6)/N5</f>
        <v>0.69279343983118302</v>
      </c>
      <c r="S6" s="28">
        <v>1299</v>
      </c>
      <c r="T6" s="64"/>
      <c r="U6" s="103"/>
      <c r="V6" s="72"/>
      <c r="W6" s="35"/>
      <c r="X6" s="28">
        <v>13115</v>
      </c>
      <c r="Y6" s="64"/>
      <c r="Z6" s="103"/>
      <c r="AA6" s="72"/>
      <c r="AB6" s="35"/>
    </row>
    <row r="7" spans="1:28">
      <c r="A7" s="3"/>
      <c r="B7" s="5"/>
      <c r="C7" s="11"/>
      <c r="D7" s="24"/>
      <c r="E7" s="5"/>
      <c r="F7"/>
      <c r="G7" s="24"/>
      <c r="H7" s="5"/>
      <c r="I7" s="11"/>
      <c r="K7" s="5"/>
      <c r="L7" s="12"/>
      <c r="M7" s="3"/>
      <c r="N7" s="5"/>
      <c r="P7" s="32"/>
      <c r="S7" s="5"/>
      <c r="U7" s="32"/>
      <c r="X7" s="5"/>
      <c r="Z7" s="32"/>
    </row>
    <row r="8" spans="1:28" ht="15.75">
      <c r="A8" s="27" t="s">
        <v>29</v>
      </c>
      <c r="B8" s="5">
        <v>75598</v>
      </c>
      <c r="C8" s="11">
        <v>66620</v>
      </c>
      <c r="D8" s="26">
        <f>C8/B8</f>
        <v>0.88124024445091143</v>
      </c>
      <c r="E8" s="5">
        <v>75717</v>
      </c>
      <c r="F8" s="5">
        <v>65054</v>
      </c>
      <c r="G8" s="26">
        <f>F8/E8</f>
        <v>0.85917297304436258</v>
      </c>
      <c r="H8" s="5">
        <v>75282</v>
      </c>
      <c r="I8" s="11">
        <v>65759</v>
      </c>
      <c r="J8" s="26">
        <f>I8/H8</f>
        <v>0.87350229802608859</v>
      </c>
      <c r="K8" s="5">
        <v>75303</v>
      </c>
      <c r="L8" s="12">
        <v>65729</v>
      </c>
      <c r="M8" s="34">
        <v>0.87286031101018602</v>
      </c>
      <c r="N8" s="5">
        <v>76510</v>
      </c>
      <c r="O8">
        <v>65405</v>
      </c>
      <c r="P8" s="29">
        <f>O8/N8</f>
        <v>0.85485557443471438</v>
      </c>
      <c r="S8" s="5">
        <v>77437</v>
      </c>
      <c r="T8">
        <v>67215</v>
      </c>
      <c r="U8" s="29">
        <v>0.86799999999999999</v>
      </c>
      <c r="X8" s="5">
        <v>75717</v>
      </c>
      <c r="Y8" s="5">
        <v>65054</v>
      </c>
      <c r="Z8" s="34">
        <v>0.85899999999999999</v>
      </c>
    </row>
    <row r="9" spans="1:28" s="19" customFormat="1">
      <c r="A9" s="15" t="s">
        <v>39</v>
      </c>
      <c r="B9" s="28">
        <v>2129</v>
      </c>
      <c r="C9" s="17">
        <v>3454</v>
      </c>
      <c r="D9" s="25"/>
      <c r="E9" s="28">
        <v>1663</v>
      </c>
      <c r="F9" s="19">
        <v>3506</v>
      </c>
      <c r="G9" s="25"/>
      <c r="H9" s="28">
        <v>1703</v>
      </c>
      <c r="I9" s="17">
        <v>3209</v>
      </c>
      <c r="J9" s="36"/>
      <c r="K9" s="28">
        <v>2247</v>
      </c>
      <c r="L9" s="64">
        <v>3710.2076761281164</v>
      </c>
      <c r="M9" s="70"/>
      <c r="N9" s="28">
        <v>2301</v>
      </c>
      <c r="O9" s="64">
        <v>3641</v>
      </c>
      <c r="P9" s="103"/>
      <c r="Q9" s="72">
        <f>(O8-O9)/N8</f>
        <v>0.80726702391844207</v>
      </c>
      <c r="R9" s="35">
        <f>(O8+O9)/N8</f>
        <v>0.9024441249509868</v>
      </c>
      <c r="S9" s="28">
        <v>2199</v>
      </c>
      <c r="T9" s="64"/>
      <c r="U9" s="103"/>
      <c r="V9" s="72"/>
      <c r="W9" s="35"/>
      <c r="X9" s="28">
        <v>1663</v>
      </c>
      <c r="Y9" s="5"/>
      <c r="Z9" s="103"/>
      <c r="AA9" s="72"/>
      <c r="AB9" s="35"/>
    </row>
    <row r="10" spans="1:28">
      <c r="A10" s="3"/>
      <c r="B10" s="5"/>
      <c r="C10" s="11"/>
      <c r="D10" s="24"/>
      <c r="E10" s="5"/>
      <c r="F10"/>
      <c r="G10" s="24"/>
      <c r="H10" s="5"/>
      <c r="I10" s="11"/>
      <c r="K10" s="5"/>
      <c r="L10" s="12"/>
      <c r="M10" s="3"/>
      <c r="N10" s="5"/>
      <c r="P10" s="32"/>
      <c r="S10" s="5"/>
      <c r="U10" s="32"/>
      <c r="X10" s="5"/>
      <c r="Z10" s="32"/>
    </row>
    <row r="11" spans="1:28" ht="15.75">
      <c r="A11" s="27" t="s">
        <v>27</v>
      </c>
      <c r="B11" s="5">
        <v>56965</v>
      </c>
      <c r="C11" s="11">
        <v>50888</v>
      </c>
      <c r="D11" s="26">
        <f>C11/B11</f>
        <v>0.89332045993153686</v>
      </c>
      <c r="E11" s="5">
        <v>55527</v>
      </c>
      <c r="F11" s="5">
        <v>48520</v>
      </c>
      <c r="G11" s="26">
        <f>F11/E11</f>
        <v>0.87380913789687897</v>
      </c>
      <c r="H11" s="5">
        <v>55228</v>
      </c>
      <c r="I11" s="11">
        <v>50056</v>
      </c>
      <c r="J11" s="26">
        <f>I11/H11</f>
        <v>0.90635185051061051</v>
      </c>
      <c r="K11" s="5">
        <v>55086</v>
      </c>
      <c r="L11" s="12">
        <v>49027</v>
      </c>
      <c r="M11" s="34">
        <v>0.89000835057909455</v>
      </c>
      <c r="N11" s="5">
        <v>56997</v>
      </c>
      <c r="O11">
        <v>50227</v>
      </c>
      <c r="P11" s="29">
        <f>O11/N11</f>
        <v>0.88122181869221183</v>
      </c>
      <c r="S11" s="5">
        <v>57939</v>
      </c>
      <c r="T11">
        <v>51218</v>
      </c>
      <c r="U11" s="29">
        <v>0.88400000000000001</v>
      </c>
      <c r="X11" s="5">
        <v>55527</v>
      </c>
      <c r="Y11" s="5">
        <v>48520</v>
      </c>
      <c r="Z11" s="29">
        <v>0.874</v>
      </c>
    </row>
    <row r="12" spans="1:28" s="19" customFormat="1">
      <c r="A12" s="15" t="s">
        <v>39</v>
      </c>
      <c r="B12" s="28">
        <v>2193</v>
      </c>
      <c r="C12" s="17">
        <v>3192</v>
      </c>
      <c r="D12" s="25"/>
      <c r="E12" s="28">
        <v>1849</v>
      </c>
      <c r="F12" s="19">
        <v>3200</v>
      </c>
      <c r="G12" s="25"/>
      <c r="H12" s="28">
        <v>1815</v>
      </c>
      <c r="I12" s="17">
        <v>2935</v>
      </c>
      <c r="J12" s="36"/>
      <c r="K12" s="28">
        <v>2128</v>
      </c>
      <c r="L12" s="64">
        <v>3275.8293606352572</v>
      </c>
      <c r="M12" s="70"/>
      <c r="N12" s="28">
        <v>2140</v>
      </c>
      <c r="O12" s="64">
        <v>3322</v>
      </c>
      <c r="Q12" s="72">
        <f>(O11-O12)/N11</f>
        <v>0.82293804937101955</v>
      </c>
      <c r="R12" s="35">
        <f>(O11+O12)/N11</f>
        <v>0.93950558801340422</v>
      </c>
      <c r="S12" s="28">
        <v>2296</v>
      </c>
      <c r="T12" s="64"/>
      <c r="V12" s="72"/>
      <c r="W12" s="35"/>
      <c r="X12" s="28">
        <v>1849</v>
      </c>
      <c r="Y12" s="64"/>
      <c r="AA12" s="72"/>
      <c r="AB12" s="35"/>
    </row>
    <row r="13" spans="1:28" s="19" customFormat="1">
      <c r="A13" s="15"/>
      <c r="B13" s="28"/>
      <c r="C13" s="17"/>
      <c r="D13" s="25"/>
      <c r="E13" s="28"/>
      <c r="G13" s="25"/>
      <c r="H13" s="28"/>
      <c r="I13" s="17"/>
      <c r="J13" s="36"/>
      <c r="K13" s="28"/>
      <c r="L13" s="64"/>
      <c r="M13" s="70"/>
    </row>
    <row r="15" spans="1:28">
      <c r="A15" t="s">
        <v>284</v>
      </c>
    </row>
    <row r="16" spans="1:28" ht="14.45" customHeight="1">
      <c r="W16" s="5"/>
    </row>
    <row r="17" spans="18:26">
      <c r="W17" s="5"/>
    </row>
    <row r="18" spans="18:26">
      <c r="R18" s="5"/>
      <c r="T18" s="5"/>
      <c r="W18" s="5"/>
    </row>
    <row r="19" spans="18:26">
      <c r="R19" s="5"/>
      <c r="T19" s="5"/>
      <c r="U19" s="5"/>
      <c r="V19" s="5"/>
      <c r="W19" s="5"/>
    </row>
    <row r="20" spans="18:26">
      <c r="R20" s="5"/>
      <c r="T20" s="5"/>
      <c r="U20" s="5"/>
      <c r="V20" s="5"/>
      <c r="W20" s="5"/>
      <c r="X20" s="5"/>
      <c r="Z20" s="5"/>
    </row>
    <row r="21" spans="18:26">
      <c r="R21" s="5"/>
      <c r="T21" s="5"/>
      <c r="U21" s="5"/>
      <c r="V21" s="5"/>
      <c r="W21" s="5"/>
      <c r="X21" s="5"/>
    </row>
    <row r="22" spans="18:26">
      <c r="R22" s="5"/>
      <c r="T22" s="5"/>
      <c r="V22" s="5"/>
      <c r="W22" s="5"/>
    </row>
    <row r="23" spans="18:26">
      <c r="R23" s="5"/>
      <c r="T23" s="5"/>
      <c r="V23" s="5"/>
      <c r="W23" s="5"/>
    </row>
    <row r="24" spans="18:26">
      <c r="V24" s="5"/>
      <c r="W24" s="5"/>
    </row>
    <row r="25" spans="18:26">
      <c r="R25" s="5"/>
      <c r="T25" s="5"/>
      <c r="V25" s="5"/>
      <c r="W25" s="5"/>
    </row>
    <row r="27" spans="18:26">
      <c r="W27" s="5"/>
      <c r="Y27" s="5"/>
    </row>
    <row r="28" spans="18:26">
      <c r="S28" s="5"/>
      <c r="U28" s="5"/>
      <c r="W28" s="5"/>
    </row>
  </sheetData>
  <mergeCells count="7">
    <mergeCell ref="X3:AB3"/>
    <mergeCell ref="S3:W3"/>
    <mergeCell ref="N3:R3"/>
    <mergeCell ref="B3:D3"/>
    <mergeCell ref="E3:G3"/>
    <mergeCell ref="H3:J3"/>
    <mergeCell ref="K3:M3"/>
  </mergeCells>
  <pageMargins left="0.7" right="0.7" top="0.75" bottom="0.75" header="0.3" footer="0.3"/>
  <pageSetup orientation="portrait" horizontalDpi="0" verticalDpi="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L12"/>
  <sheetViews>
    <sheetView topLeftCell="A2" zoomScale="98" zoomScaleNormal="98" workbookViewId="0">
      <selection activeCell="E23" sqref="E23"/>
    </sheetView>
  </sheetViews>
  <sheetFormatPr defaultColWidth="8.85546875" defaultRowHeight="15"/>
  <cols>
    <col min="1" max="1" width="56.7109375" bestFit="1" customWidth="1"/>
    <col min="2" max="2" width="13" bestFit="1" customWidth="1"/>
    <col min="3" max="6" width="9.140625" bestFit="1" customWidth="1"/>
    <col min="7" max="7" width="9.140625" hidden="1" customWidth="1"/>
    <col min="8" max="8" width="21.7109375" hidden="1" customWidth="1"/>
    <col min="9" max="9" width="20.7109375" hidden="1" customWidth="1"/>
    <col min="10" max="10" width="0" hidden="1" customWidth="1"/>
    <col min="11" max="11" width="13" bestFit="1" customWidth="1"/>
  </cols>
  <sheetData>
    <row r="1" spans="1:12" ht="18" hidden="1" customHeight="1"/>
    <row r="2" spans="1:12">
      <c r="B2" s="46">
        <v>2012</v>
      </c>
      <c r="C2" s="46">
        <v>2013</v>
      </c>
      <c r="D2" s="46">
        <v>2014</v>
      </c>
      <c r="E2" s="46">
        <v>2015</v>
      </c>
      <c r="F2" s="46">
        <v>2016</v>
      </c>
      <c r="G2" s="46"/>
      <c r="H2" s="524" t="s">
        <v>166</v>
      </c>
      <c r="I2" s="525" t="s">
        <v>165</v>
      </c>
      <c r="K2" s="46">
        <v>2017</v>
      </c>
      <c r="L2" s="46">
        <v>2018</v>
      </c>
    </row>
    <row r="3" spans="1:12" ht="15.75">
      <c r="A3" s="27" t="s">
        <v>27</v>
      </c>
      <c r="H3" s="525"/>
      <c r="I3" s="525"/>
      <c r="K3" s="11"/>
    </row>
    <row r="4" spans="1:12">
      <c r="A4" t="s">
        <v>147</v>
      </c>
      <c r="B4" s="5">
        <v>1739071</v>
      </c>
      <c r="C4" s="5">
        <v>1713801</v>
      </c>
      <c r="D4" s="5">
        <v>1667935</v>
      </c>
      <c r="E4" s="5">
        <v>1701401</v>
      </c>
      <c r="F4" s="89">
        <v>1708925</v>
      </c>
      <c r="G4" s="89"/>
      <c r="H4" s="525"/>
      <c r="I4" s="525"/>
      <c r="K4" s="5">
        <v>1837990</v>
      </c>
      <c r="L4" s="5">
        <v>2010146</v>
      </c>
    </row>
    <row r="5" spans="1:12">
      <c r="A5" s="82" t="s">
        <v>146</v>
      </c>
      <c r="B5" s="88">
        <v>38503</v>
      </c>
      <c r="C5" s="88">
        <v>39288</v>
      </c>
      <c r="D5" s="88">
        <v>41897</v>
      </c>
      <c r="E5" s="88">
        <v>45062</v>
      </c>
      <c r="F5" s="88">
        <v>46635</v>
      </c>
      <c r="G5" s="88"/>
      <c r="H5" s="525"/>
      <c r="I5" s="525"/>
      <c r="K5" s="5">
        <v>48169</v>
      </c>
      <c r="L5" s="5">
        <v>46133</v>
      </c>
    </row>
    <row r="6" spans="1:12">
      <c r="A6" t="s">
        <v>18</v>
      </c>
      <c r="B6" s="58" t="s">
        <v>133</v>
      </c>
      <c r="C6" s="58" t="s">
        <v>133</v>
      </c>
      <c r="D6" s="58" t="s">
        <v>133</v>
      </c>
      <c r="E6" s="58" t="s">
        <v>133</v>
      </c>
      <c r="F6" s="58"/>
      <c r="G6" s="58"/>
      <c r="H6" s="526"/>
      <c r="I6" s="525"/>
    </row>
    <row r="7" spans="1:12">
      <c r="A7" t="s">
        <v>19</v>
      </c>
      <c r="B7" t="s">
        <v>78</v>
      </c>
      <c r="C7" s="55" t="s">
        <v>126</v>
      </c>
      <c r="D7" s="55" t="s">
        <v>126</v>
      </c>
      <c r="E7" s="55" t="s">
        <v>126</v>
      </c>
      <c r="F7" s="55"/>
      <c r="G7" s="55"/>
      <c r="H7" s="525" t="s">
        <v>79</v>
      </c>
      <c r="I7" s="525">
        <v>707</v>
      </c>
    </row>
    <row r="8" spans="1:12">
      <c r="C8" s="6"/>
      <c r="D8" s="6"/>
      <c r="E8" s="6"/>
      <c r="F8" s="6"/>
      <c r="G8" s="6"/>
      <c r="H8" s="525"/>
      <c r="I8" s="525"/>
    </row>
    <row r="9" spans="1:12">
      <c r="A9" t="s">
        <v>80</v>
      </c>
      <c r="B9" s="55" t="s">
        <v>126</v>
      </c>
      <c r="C9" s="55" t="s">
        <v>126</v>
      </c>
      <c r="D9" s="55" t="s">
        <v>126</v>
      </c>
      <c r="E9" s="55" t="s">
        <v>126</v>
      </c>
      <c r="F9" s="55"/>
      <c r="G9" s="55"/>
      <c r="H9" s="525" t="s">
        <v>81</v>
      </c>
      <c r="I9" s="527" t="s">
        <v>161</v>
      </c>
      <c r="K9" t="s">
        <v>344</v>
      </c>
    </row>
    <row r="10" spans="1:12">
      <c r="A10" t="s">
        <v>82</v>
      </c>
      <c r="B10" s="55" t="s">
        <v>126</v>
      </c>
      <c r="C10" s="55" t="s">
        <v>126</v>
      </c>
      <c r="D10" s="55" t="s">
        <v>126</v>
      </c>
      <c r="E10" s="55" t="s">
        <v>126</v>
      </c>
      <c r="F10" s="55"/>
      <c r="G10" s="55"/>
      <c r="H10" s="525" t="s">
        <v>83</v>
      </c>
      <c r="I10" s="527" t="s">
        <v>162</v>
      </c>
      <c r="K10" t="s">
        <v>347</v>
      </c>
    </row>
    <row r="11" spans="1:12">
      <c r="A11" t="s">
        <v>84</v>
      </c>
      <c r="B11" s="55" t="s">
        <v>126</v>
      </c>
      <c r="C11" s="55" t="s">
        <v>126</v>
      </c>
      <c r="D11" s="55" t="s">
        <v>126</v>
      </c>
      <c r="E11" s="55" t="s">
        <v>126</v>
      </c>
      <c r="F11" s="55"/>
      <c r="G11" s="55"/>
      <c r="H11" s="525" t="s">
        <v>85</v>
      </c>
      <c r="I11" s="527" t="s">
        <v>163</v>
      </c>
      <c r="K11" t="s">
        <v>345</v>
      </c>
    </row>
    <row r="12" spans="1:12">
      <c r="A12" t="s">
        <v>86</v>
      </c>
      <c r="B12" s="55" t="s">
        <v>126</v>
      </c>
      <c r="C12" s="55" t="s">
        <v>126</v>
      </c>
      <c r="D12" s="55" t="s">
        <v>126</v>
      </c>
      <c r="E12" s="55" t="s">
        <v>126</v>
      </c>
      <c r="F12" s="55"/>
      <c r="G12" s="55"/>
      <c r="H12" s="525" t="s">
        <v>87</v>
      </c>
      <c r="I12" s="527" t="s">
        <v>164</v>
      </c>
      <c r="K12" t="s">
        <v>346</v>
      </c>
    </row>
  </sheetData>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20"/>
  <sheetViews>
    <sheetView workbookViewId="0">
      <selection activeCell="K26" sqref="K26"/>
    </sheetView>
  </sheetViews>
  <sheetFormatPr defaultColWidth="9.140625" defaultRowHeight="15"/>
  <cols>
    <col min="1" max="1" width="23.140625" customWidth="1"/>
    <col min="3" max="3" width="16.140625" customWidth="1"/>
    <col min="4" max="4" width="9.140625" style="3"/>
    <col min="6" max="6" width="16.140625" customWidth="1"/>
    <col min="9" max="9" width="16.42578125" customWidth="1"/>
    <col min="10" max="10" width="9.140625" style="3"/>
    <col min="11" max="12" width="13.28515625" customWidth="1"/>
    <col min="13" max="13" width="10.28515625" customWidth="1"/>
    <col min="14" max="14" width="14.28515625" customWidth="1"/>
    <col min="15" max="15" width="14.7109375" customWidth="1"/>
    <col min="16" max="17" width="13.85546875" customWidth="1"/>
    <col min="18" max="18" width="13.42578125" customWidth="1"/>
    <col min="19" max="19" width="13.85546875" customWidth="1"/>
  </cols>
  <sheetData>
    <row r="1" spans="1:19" ht="18.75">
      <c r="A1" s="48" t="s">
        <v>112</v>
      </c>
    </row>
    <row r="2" spans="1:19" ht="15.75" thickBot="1"/>
    <row r="3" spans="1:19" s="6" customFormat="1" ht="19.350000000000001" customHeight="1" thickBot="1">
      <c r="B3" s="870">
        <v>2012</v>
      </c>
      <c r="C3" s="871"/>
      <c r="D3" s="872"/>
      <c r="E3" s="870">
        <v>2013</v>
      </c>
      <c r="F3" s="871">
        <v>2013</v>
      </c>
      <c r="G3" s="872">
        <v>2013</v>
      </c>
      <c r="H3" s="870">
        <v>2014</v>
      </c>
      <c r="I3" s="871">
        <v>2014</v>
      </c>
      <c r="J3" s="872">
        <v>2014</v>
      </c>
      <c r="K3" s="870">
        <v>2015</v>
      </c>
      <c r="L3" s="871">
        <v>2014</v>
      </c>
      <c r="M3" s="872">
        <v>2014</v>
      </c>
      <c r="N3" s="870">
        <v>2016</v>
      </c>
      <c r="O3" s="871">
        <v>2014</v>
      </c>
      <c r="P3" s="872">
        <v>2014</v>
      </c>
      <c r="Q3" s="873">
        <v>2017</v>
      </c>
      <c r="R3" s="874">
        <v>2014</v>
      </c>
      <c r="S3" s="875">
        <v>2014</v>
      </c>
    </row>
    <row r="4" spans="1:19" ht="60">
      <c r="B4" s="21" t="s">
        <v>40</v>
      </c>
      <c r="C4" s="21" t="s">
        <v>41</v>
      </c>
      <c r="D4" s="22" t="s">
        <v>42</v>
      </c>
      <c r="E4" s="21" t="s">
        <v>40</v>
      </c>
      <c r="F4" s="21" t="s">
        <v>41</v>
      </c>
      <c r="G4" s="22" t="s">
        <v>42</v>
      </c>
      <c r="H4" s="21" t="s">
        <v>40</v>
      </c>
      <c r="I4" s="21" t="s">
        <v>41</v>
      </c>
      <c r="J4" s="22" t="s">
        <v>42</v>
      </c>
      <c r="K4" s="21" t="s">
        <v>40</v>
      </c>
      <c r="L4" s="21" t="s">
        <v>41</v>
      </c>
      <c r="M4" s="22" t="s">
        <v>42</v>
      </c>
      <c r="N4" s="21" t="s">
        <v>40</v>
      </c>
      <c r="O4" s="21" t="s">
        <v>41</v>
      </c>
      <c r="P4" s="22" t="s">
        <v>42</v>
      </c>
      <c r="Q4" s="21" t="s">
        <v>40</v>
      </c>
      <c r="R4" s="21" t="s">
        <v>41</v>
      </c>
      <c r="S4" s="22" t="s">
        <v>42</v>
      </c>
    </row>
    <row r="5" spans="1:19">
      <c r="B5" s="10"/>
      <c r="C5" s="10"/>
      <c r="D5" s="14"/>
      <c r="E5" s="10"/>
      <c r="F5" s="10"/>
      <c r="G5" s="10"/>
      <c r="H5" s="10"/>
      <c r="I5" s="10"/>
      <c r="J5" s="14"/>
      <c r="K5" s="14"/>
      <c r="N5" s="14"/>
      <c r="Q5" s="14"/>
    </row>
    <row r="6" spans="1:19" ht="15.75">
      <c r="A6" s="27" t="s">
        <v>26</v>
      </c>
      <c r="B6" s="5">
        <v>2737424</v>
      </c>
      <c r="C6" s="5">
        <v>356488</v>
      </c>
      <c r="D6" s="29">
        <f>C6/B6</f>
        <v>0.13022754239021794</v>
      </c>
      <c r="E6" s="5">
        <v>2773626</v>
      </c>
      <c r="F6" s="11">
        <v>361586</v>
      </c>
      <c r="G6" s="29">
        <f>F6/E6</f>
        <v>0.13036580995418992</v>
      </c>
      <c r="H6" s="5">
        <v>2811291</v>
      </c>
      <c r="I6" s="11">
        <v>379112</v>
      </c>
      <c r="J6" s="29">
        <f>I6/H6</f>
        <v>0.13485334673642821</v>
      </c>
      <c r="K6" s="5">
        <v>2861003</v>
      </c>
      <c r="L6" s="11">
        <v>387582</v>
      </c>
      <c r="M6" s="29">
        <f>L6/K6</f>
        <v>0.13547067234812407</v>
      </c>
      <c r="N6" s="5">
        <v>2868581</v>
      </c>
      <c r="O6" s="11">
        <v>389631</v>
      </c>
      <c r="P6" s="29">
        <v>0.13600000000000001</v>
      </c>
      <c r="Q6" s="5">
        <v>2908771</v>
      </c>
      <c r="R6" s="11">
        <v>402256</v>
      </c>
      <c r="S6" s="29">
        <v>0.13800000000000001</v>
      </c>
    </row>
    <row r="7" spans="1:19" s="19" customFormat="1">
      <c r="A7" s="15" t="s">
        <v>39</v>
      </c>
      <c r="B7" s="28">
        <v>12945</v>
      </c>
      <c r="C7" s="28">
        <v>18510</v>
      </c>
      <c r="D7" s="35">
        <v>7.0000000000000001E-3</v>
      </c>
      <c r="E7" s="28">
        <v>11559</v>
      </c>
      <c r="F7" s="17">
        <v>17217</v>
      </c>
      <c r="G7" s="35">
        <v>6.0000000000000001E-3</v>
      </c>
      <c r="H7" s="28">
        <v>12563</v>
      </c>
      <c r="I7" s="17">
        <v>19325</v>
      </c>
      <c r="J7" s="35">
        <v>7.0000000000000001E-3</v>
      </c>
      <c r="K7" s="28">
        <v>10449</v>
      </c>
      <c r="L7" s="17">
        <v>17772</v>
      </c>
      <c r="M7" s="35">
        <v>6.0000000000000001E-3</v>
      </c>
      <c r="N7" s="28">
        <v>11316</v>
      </c>
      <c r="O7" s="17">
        <v>19315</v>
      </c>
      <c r="P7" s="35">
        <v>7.0000000000000001E-3</v>
      </c>
      <c r="Q7" s="28">
        <v>11921</v>
      </c>
      <c r="R7" s="17">
        <v>9929</v>
      </c>
      <c r="S7" s="35"/>
    </row>
    <row r="8" spans="1:19" s="19" customFormat="1">
      <c r="A8" s="18"/>
      <c r="B8" s="28"/>
      <c r="C8" s="28"/>
      <c r="D8" s="18"/>
      <c r="E8" s="28"/>
      <c r="F8" s="17"/>
      <c r="H8" s="28"/>
      <c r="I8" s="17"/>
      <c r="J8" s="18"/>
      <c r="K8" s="28"/>
      <c r="L8" s="17"/>
      <c r="M8" s="18"/>
      <c r="N8" s="28"/>
      <c r="O8" s="17"/>
      <c r="P8" s="18"/>
      <c r="Q8" s="28"/>
      <c r="R8" s="17"/>
      <c r="S8" s="18"/>
    </row>
    <row r="9" spans="1:19" ht="15.75">
      <c r="A9" s="27" t="s">
        <v>29</v>
      </c>
      <c r="B9" s="5">
        <v>78400</v>
      </c>
      <c r="C9" s="5">
        <v>10143</v>
      </c>
      <c r="D9" s="29">
        <f>C9/B9</f>
        <v>0.12937499999999999</v>
      </c>
      <c r="E9" s="5">
        <v>78888</v>
      </c>
      <c r="F9" s="11">
        <v>10584</v>
      </c>
      <c r="G9" s="29">
        <f>F9/E9</f>
        <v>0.13416489199878309</v>
      </c>
      <c r="H9" s="5">
        <v>77872</v>
      </c>
      <c r="I9" s="11">
        <v>11784</v>
      </c>
      <c r="J9" s="29">
        <f>I9/H9</f>
        <v>0.15132525169508937</v>
      </c>
      <c r="K9" s="5">
        <v>78475</v>
      </c>
      <c r="L9" s="11">
        <v>11406</v>
      </c>
      <c r="M9" s="29">
        <f>L9/K9</f>
        <v>0.1453456514813635</v>
      </c>
      <c r="N9" s="5">
        <v>79839</v>
      </c>
      <c r="O9" s="11">
        <v>11953</v>
      </c>
      <c r="P9" s="29">
        <v>0.15</v>
      </c>
      <c r="Q9" s="5">
        <v>81854</v>
      </c>
      <c r="R9" s="11">
        <v>12850</v>
      </c>
      <c r="S9" s="29">
        <v>0.157</v>
      </c>
    </row>
    <row r="10" spans="1:19" s="19" customFormat="1">
      <c r="A10" s="15" t="s">
        <v>39</v>
      </c>
      <c r="B10" s="28">
        <v>2192</v>
      </c>
      <c r="C10" s="28">
        <v>3210</v>
      </c>
      <c r="D10" s="35">
        <v>4.1000000000000002E-2</v>
      </c>
      <c r="E10" s="28">
        <v>1783</v>
      </c>
      <c r="F10" s="17">
        <v>2689</v>
      </c>
      <c r="G10" s="35">
        <v>3.4000000000000002E-2</v>
      </c>
      <c r="H10" s="28">
        <v>1734</v>
      </c>
      <c r="I10" s="17">
        <v>2555</v>
      </c>
      <c r="J10" s="35">
        <v>3.3000000000000002E-2</v>
      </c>
      <c r="K10" s="28">
        <v>2098</v>
      </c>
      <c r="L10" s="17">
        <v>3684</v>
      </c>
      <c r="M10" s="35">
        <v>4.7E-2</v>
      </c>
      <c r="N10" s="28">
        <v>2294</v>
      </c>
      <c r="O10" s="17">
        <v>3993</v>
      </c>
      <c r="P10" s="35">
        <v>0.05</v>
      </c>
      <c r="Q10" s="28">
        <v>2072</v>
      </c>
      <c r="R10" s="17">
        <v>1709</v>
      </c>
      <c r="S10" s="35"/>
    </row>
    <row r="11" spans="1:19" s="19" customFormat="1">
      <c r="A11" s="18"/>
      <c r="B11" s="28"/>
      <c r="C11" s="28"/>
      <c r="D11" s="18"/>
      <c r="E11" s="28"/>
      <c r="F11" s="17"/>
      <c r="H11" s="28"/>
      <c r="I11" s="17"/>
      <c r="J11" s="18"/>
      <c r="K11" s="28"/>
      <c r="L11" s="17"/>
      <c r="M11" s="18"/>
      <c r="N11" s="28"/>
      <c r="O11" s="17"/>
      <c r="P11" s="18"/>
      <c r="Q11" s="28"/>
      <c r="R11" s="17"/>
      <c r="S11" s="18"/>
    </row>
    <row r="12" spans="1:19" ht="15.75">
      <c r="A12" s="27" t="s">
        <v>27</v>
      </c>
      <c r="B12" s="5">
        <v>58902</v>
      </c>
      <c r="C12" s="5">
        <v>8720</v>
      </c>
      <c r="D12" s="29">
        <f>C12/B12</f>
        <v>0.14804251128993923</v>
      </c>
      <c r="E12" s="5">
        <v>57332</v>
      </c>
      <c r="F12" s="11">
        <v>8442</v>
      </c>
      <c r="G12" s="29">
        <f>F12/E12</f>
        <v>0.1472476104095444</v>
      </c>
      <c r="H12" s="5">
        <v>56927</v>
      </c>
      <c r="I12" s="11">
        <v>9711</v>
      </c>
      <c r="J12" s="29">
        <f>I12/H12</f>
        <v>0.17058689198447133</v>
      </c>
      <c r="K12" s="5">
        <v>57000</v>
      </c>
      <c r="L12" s="11">
        <v>8819</v>
      </c>
      <c r="M12" s="29">
        <f>L12/K12</f>
        <v>0.15471929824561403</v>
      </c>
      <c r="N12" s="5">
        <v>59592</v>
      </c>
      <c r="O12" s="11">
        <v>10671</v>
      </c>
      <c r="P12" s="29">
        <v>0.17899999999999999</v>
      </c>
      <c r="Q12" s="5">
        <v>61163</v>
      </c>
      <c r="R12" s="11">
        <v>11153</v>
      </c>
      <c r="S12" s="29">
        <v>0.182</v>
      </c>
    </row>
    <row r="13" spans="1:19" s="19" customFormat="1">
      <c r="A13" s="15" t="s">
        <v>39</v>
      </c>
      <c r="B13" s="28">
        <v>2171</v>
      </c>
      <c r="C13" s="28">
        <v>3127</v>
      </c>
      <c r="D13" s="35">
        <v>5.2999999999999999E-2</v>
      </c>
      <c r="E13" s="28">
        <v>1841</v>
      </c>
      <c r="F13" s="17">
        <v>2754</v>
      </c>
      <c r="G13" s="35">
        <v>4.8000000000000001E-2</v>
      </c>
      <c r="H13" s="28">
        <v>1881</v>
      </c>
      <c r="I13" s="17">
        <v>2613</v>
      </c>
      <c r="J13" s="35">
        <v>4.5999999999999999E-2</v>
      </c>
      <c r="K13" s="28">
        <v>2032</v>
      </c>
      <c r="L13" s="17">
        <v>3584</v>
      </c>
      <c r="M13" s="35">
        <v>6.3E-2</v>
      </c>
      <c r="N13" s="28">
        <v>2188</v>
      </c>
      <c r="O13" s="17">
        <v>3736</v>
      </c>
      <c r="P13" s="35">
        <v>6.2E-2</v>
      </c>
      <c r="Q13" s="28">
        <v>2272</v>
      </c>
      <c r="R13" s="17">
        <v>1652</v>
      </c>
      <c r="S13" s="35"/>
    </row>
    <row r="16" spans="1:19">
      <c r="A16" t="s">
        <v>137</v>
      </c>
    </row>
    <row r="17" spans="1:1">
      <c r="A17" t="s">
        <v>159</v>
      </c>
    </row>
    <row r="18" spans="1:1">
      <c r="A18" s="208" t="s">
        <v>285</v>
      </c>
    </row>
    <row r="19" spans="1:1">
      <c r="A19" s="208" t="s">
        <v>286</v>
      </c>
    </row>
    <row r="20" spans="1:1">
      <c r="A20" s="208" t="s">
        <v>287</v>
      </c>
    </row>
  </sheetData>
  <mergeCells count="6">
    <mergeCell ref="Q3:S3"/>
    <mergeCell ref="B3:D3"/>
    <mergeCell ref="E3:G3"/>
    <mergeCell ref="H3:J3"/>
    <mergeCell ref="K3:M3"/>
    <mergeCell ref="N3:P3"/>
  </mergeCells>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L32"/>
  <sheetViews>
    <sheetView workbookViewId="0">
      <selection activeCell="A20" sqref="A20:D20"/>
    </sheetView>
  </sheetViews>
  <sheetFormatPr defaultColWidth="10.85546875" defaultRowHeight="15"/>
  <cols>
    <col min="1" max="1" width="49" customWidth="1"/>
    <col min="4" max="11" width="11.140625" bestFit="1" customWidth="1"/>
    <col min="12" max="12" width="14.28515625" bestFit="1" customWidth="1"/>
  </cols>
  <sheetData>
    <row r="1" spans="1:12" ht="15.75" thickBot="1">
      <c r="A1" s="120"/>
      <c r="B1" s="121">
        <v>2007</v>
      </c>
      <c r="C1" s="122">
        <v>2008</v>
      </c>
      <c r="D1" s="122">
        <v>2009</v>
      </c>
      <c r="E1" s="122">
        <v>2010</v>
      </c>
      <c r="F1" s="122">
        <v>2011</v>
      </c>
      <c r="G1" s="122">
        <v>2012</v>
      </c>
      <c r="H1" s="122">
        <v>2013</v>
      </c>
      <c r="I1" s="122">
        <v>2014</v>
      </c>
      <c r="J1" s="122">
        <v>2015</v>
      </c>
      <c r="K1" s="122">
        <v>2016</v>
      </c>
      <c r="L1" s="123">
        <v>2017</v>
      </c>
    </row>
    <row r="2" spans="1:12">
      <c r="A2" s="124" t="s">
        <v>2</v>
      </c>
      <c r="B2" s="125"/>
      <c r="C2" s="125"/>
      <c r="D2" s="125"/>
      <c r="E2" s="125"/>
      <c r="F2" s="125"/>
      <c r="G2" s="125"/>
      <c r="H2" s="125"/>
      <c r="I2" s="125"/>
      <c r="J2" s="125"/>
      <c r="K2" s="125"/>
      <c r="L2" s="126"/>
    </row>
    <row r="3" spans="1:12">
      <c r="A3" s="127" t="s">
        <v>129</v>
      </c>
      <c r="B3" s="128"/>
      <c r="C3" s="128"/>
      <c r="D3" s="129">
        <v>103480</v>
      </c>
      <c r="E3" s="129">
        <v>106963</v>
      </c>
      <c r="F3" s="129">
        <v>107887</v>
      </c>
      <c r="G3" s="129">
        <v>108994</v>
      </c>
      <c r="H3" s="129">
        <v>110731</v>
      </c>
      <c r="I3" s="129">
        <v>111398</v>
      </c>
      <c r="J3" s="129">
        <v>112216</v>
      </c>
      <c r="K3" s="129">
        <v>114008</v>
      </c>
      <c r="L3" s="129">
        <v>115733</v>
      </c>
    </row>
    <row r="4" spans="1:12">
      <c r="A4" s="127" t="s">
        <v>219</v>
      </c>
      <c r="B4" s="128"/>
      <c r="C4" s="128"/>
      <c r="D4" s="130">
        <v>53742</v>
      </c>
      <c r="E4" s="130">
        <v>55621</v>
      </c>
      <c r="F4" s="130">
        <v>57196</v>
      </c>
      <c r="G4" s="130">
        <v>58902</v>
      </c>
      <c r="H4" s="130">
        <v>57332</v>
      </c>
      <c r="I4" s="130">
        <v>56927</v>
      </c>
      <c r="J4" s="130">
        <v>57000</v>
      </c>
      <c r="K4" s="130">
        <v>59592</v>
      </c>
      <c r="L4" s="128">
        <v>61163</v>
      </c>
    </row>
    <row r="5" spans="1:12">
      <c r="A5" s="127" t="s">
        <v>220</v>
      </c>
      <c r="B5" s="128"/>
      <c r="C5" s="128"/>
      <c r="D5" s="130"/>
      <c r="E5" s="130"/>
      <c r="F5" s="130">
        <v>84488</v>
      </c>
      <c r="G5" s="130">
        <v>84853</v>
      </c>
      <c r="H5" s="130">
        <v>84583</v>
      </c>
      <c r="I5" s="131">
        <v>84596</v>
      </c>
      <c r="J5" s="130">
        <v>84158</v>
      </c>
      <c r="K5" s="130">
        <v>87320</v>
      </c>
      <c r="L5" s="130">
        <v>87645</v>
      </c>
    </row>
    <row r="6" spans="1:12">
      <c r="A6" s="132" t="s">
        <v>221</v>
      </c>
      <c r="B6" s="133"/>
      <c r="C6" s="133"/>
      <c r="D6" s="130">
        <v>5528</v>
      </c>
      <c r="E6" s="130">
        <v>4853</v>
      </c>
      <c r="F6" s="130">
        <v>6074</v>
      </c>
      <c r="G6" s="130">
        <v>6280</v>
      </c>
      <c r="H6" s="130">
        <v>5762</v>
      </c>
      <c r="I6" s="130">
        <v>6246</v>
      </c>
      <c r="J6" s="130">
        <v>7311</v>
      </c>
      <c r="K6" s="130">
        <v>6490</v>
      </c>
      <c r="L6" s="128">
        <v>6377</v>
      </c>
    </row>
    <row r="7" spans="1:12">
      <c r="A7" s="132" t="s">
        <v>222</v>
      </c>
      <c r="B7" s="133"/>
      <c r="C7" s="133"/>
      <c r="D7" s="130"/>
      <c r="E7" s="130"/>
      <c r="F7" s="130">
        <f t="shared" ref="F7:L7" si="0">SUM(F3,F5)-(F4)</f>
        <v>135179</v>
      </c>
      <c r="G7" s="130">
        <f t="shared" si="0"/>
        <v>134945</v>
      </c>
      <c r="H7" s="130">
        <f t="shared" si="0"/>
        <v>137982</v>
      </c>
      <c r="I7" s="130">
        <f t="shared" si="0"/>
        <v>139067</v>
      </c>
      <c r="J7" s="130">
        <f t="shared" si="0"/>
        <v>139374</v>
      </c>
      <c r="K7" s="130">
        <f t="shared" si="0"/>
        <v>141736</v>
      </c>
      <c r="L7" s="128">
        <f t="shared" si="0"/>
        <v>142215</v>
      </c>
    </row>
    <row r="8" spans="1:12" ht="15.75" thickBot="1">
      <c r="A8" s="134" t="s">
        <v>223</v>
      </c>
      <c r="B8" s="135"/>
      <c r="C8" s="135"/>
      <c r="D8" s="135"/>
      <c r="E8" s="135"/>
      <c r="F8" s="135">
        <f t="shared" ref="F8:K8" si="1">F7-F3</f>
        <v>27292</v>
      </c>
      <c r="G8" s="135">
        <f t="shared" si="1"/>
        <v>25951</v>
      </c>
      <c r="H8" s="135">
        <f t="shared" si="1"/>
        <v>27251</v>
      </c>
      <c r="I8" s="135">
        <f t="shared" si="1"/>
        <v>27669</v>
      </c>
      <c r="J8" s="135">
        <f t="shared" si="1"/>
        <v>27158</v>
      </c>
      <c r="K8" s="135">
        <f t="shared" si="1"/>
        <v>27728</v>
      </c>
      <c r="L8" s="136">
        <f>L7-L3</f>
        <v>26482</v>
      </c>
    </row>
    <row r="9" spans="1:12" ht="15.75" thickBot="1"/>
    <row r="10" spans="1:12">
      <c r="A10" s="124" t="s">
        <v>213</v>
      </c>
      <c r="B10" s="125"/>
      <c r="C10" s="125"/>
      <c r="D10" s="125"/>
      <c r="E10" s="125"/>
      <c r="F10" s="125"/>
      <c r="G10" s="125"/>
      <c r="H10" s="137" t="s">
        <v>51</v>
      </c>
      <c r="I10" s="125"/>
      <c r="J10" s="125"/>
      <c r="K10" s="125"/>
      <c r="L10" s="126"/>
    </row>
    <row r="11" spans="1:12">
      <c r="A11" s="127" t="s">
        <v>129</v>
      </c>
      <c r="B11" s="128"/>
      <c r="C11" s="128"/>
      <c r="D11" s="129">
        <v>185618</v>
      </c>
      <c r="E11" s="129">
        <v>186302</v>
      </c>
      <c r="F11" s="129">
        <v>187612</v>
      </c>
      <c r="G11" s="129">
        <v>188773</v>
      </c>
      <c r="H11" s="129">
        <v>211853</v>
      </c>
      <c r="I11" s="129">
        <v>212778</v>
      </c>
      <c r="J11" s="129">
        <v>213873</v>
      </c>
      <c r="K11" s="129">
        <v>215884</v>
      </c>
      <c r="L11" s="129">
        <v>218280</v>
      </c>
    </row>
    <row r="12" spans="1:12">
      <c r="A12" s="127" t="s">
        <v>224</v>
      </c>
      <c r="B12" s="128"/>
      <c r="C12" s="128"/>
      <c r="D12" s="138">
        <v>97825</v>
      </c>
      <c r="E12" s="138">
        <v>98285</v>
      </c>
      <c r="F12" s="138">
        <v>100320</v>
      </c>
      <c r="G12" s="138">
        <v>100074</v>
      </c>
      <c r="H12" s="138">
        <v>110815</v>
      </c>
      <c r="I12" s="138">
        <v>110569</v>
      </c>
      <c r="J12" s="138">
        <v>111155</v>
      </c>
      <c r="K12" s="138">
        <v>112543</v>
      </c>
      <c r="L12" s="139">
        <v>113366</v>
      </c>
    </row>
    <row r="13" spans="1:12">
      <c r="A13" s="127" t="s">
        <v>225</v>
      </c>
      <c r="B13" s="128"/>
      <c r="C13" s="128"/>
      <c r="D13" s="130"/>
      <c r="E13" s="130"/>
      <c r="F13" s="130">
        <v>107010</v>
      </c>
      <c r="G13" s="130">
        <v>106196</v>
      </c>
      <c r="H13" s="130">
        <v>115055</v>
      </c>
      <c r="I13" s="130">
        <v>117800</v>
      </c>
      <c r="J13" s="130">
        <v>118287</v>
      </c>
      <c r="K13" s="130">
        <v>117931</v>
      </c>
      <c r="L13" s="140">
        <v>119123</v>
      </c>
    </row>
    <row r="14" spans="1:12">
      <c r="A14" s="132" t="s">
        <v>226</v>
      </c>
      <c r="B14" s="133"/>
      <c r="C14" s="133"/>
      <c r="D14" s="141">
        <v>21407</v>
      </c>
      <c r="E14" s="141">
        <v>20331</v>
      </c>
      <c r="F14" s="141">
        <v>2199</v>
      </c>
      <c r="G14" s="141">
        <v>21898</v>
      </c>
      <c r="H14" s="141">
        <v>26999</v>
      </c>
      <c r="I14" s="141">
        <v>26670</v>
      </c>
      <c r="J14" s="141">
        <v>27475</v>
      </c>
      <c r="K14" s="141">
        <v>28075</v>
      </c>
      <c r="L14" s="142">
        <v>26686</v>
      </c>
    </row>
    <row r="15" spans="1:12">
      <c r="A15" s="132" t="s">
        <v>222</v>
      </c>
      <c r="B15" s="133"/>
      <c r="C15" s="133"/>
      <c r="D15" s="141"/>
      <c r="E15" s="141"/>
      <c r="F15" s="141">
        <f t="shared" ref="F15:K15" si="2">SUM(F11+F13)-F12</f>
        <v>194302</v>
      </c>
      <c r="G15" s="141">
        <f t="shared" si="2"/>
        <v>194895</v>
      </c>
      <c r="H15" s="141">
        <f t="shared" si="2"/>
        <v>216093</v>
      </c>
      <c r="I15" s="141">
        <f t="shared" si="2"/>
        <v>220009</v>
      </c>
      <c r="J15" s="141">
        <f t="shared" si="2"/>
        <v>221005</v>
      </c>
      <c r="K15" s="141">
        <f t="shared" si="2"/>
        <v>221272</v>
      </c>
      <c r="L15" s="142">
        <f>SUM(L11+L13)-L12</f>
        <v>224037</v>
      </c>
    </row>
    <row r="16" spans="1:12" ht="15.75" thickBot="1">
      <c r="A16" s="134" t="s">
        <v>227</v>
      </c>
      <c r="B16" s="135"/>
      <c r="C16" s="135"/>
      <c r="D16" s="135"/>
      <c r="E16" s="135"/>
      <c r="F16" s="135">
        <f t="shared" ref="F16:K16" si="3">F15-F11</f>
        <v>6690</v>
      </c>
      <c r="G16" s="135">
        <f t="shared" si="3"/>
        <v>6122</v>
      </c>
      <c r="H16" s="135">
        <f t="shared" si="3"/>
        <v>4240</v>
      </c>
      <c r="I16" s="135">
        <f t="shared" si="3"/>
        <v>7231</v>
      </c>
      <c r="J16" s="135">
        <f t="shared" si="3"/>
        <v>7132</v>
      </c>
      <c r="K16" s="135">
        <f t="shared" si="3"/>
        <v>5388</v>
      </c>
      <c r="L16" s="136">
        <f>L15-L11</f>
        <v>5757</v>
      </c>
    </row>
    <row r="18" spans="1:9" ht="15" customHeight="1">
      <c r="A18" t="s">
        <v>228</v>
      </c>
      <c r="G18" s="876" t="s">
        <v>229</v>
      </c>
      <c r="H18" s="876"/>
      <c r="I18" s="876"/>
    </row>
    <row r="19" spans="1:9">
      <c r="G19" s="876"/>
      <c r="H19" s="876"/>
      <c r="I19" s="876"/>
    </row>
    <row r="20" spans="1:9">
      <c r="A20" s="877" t="s">
        <v>230</v>
      </c>
      <c r="B20" s="877"/>
      <c r="C20" s="877"/>
      <c r="D20" s="877"/>
      <c r="G20" s="876"/>
      <c r="H20" s="876"/>
      <c r="I20" s="876"/>
    </row>
    <row r="21" spans="1:9">
      <c r="A21" s="877" t="s">
        <v>231</v>
      </c>
      <c r="B21" s="877"/>
      <c r="C21" s="877"/>
      <c r="D21" s="877"/>
      <c r="G21" s="876"/>
      <c r="H21" s="876"/>
      <c r="I21" s="876"/>
    </row>
    <row r="22" spans="1:9">
      <c r="A22" s="877" t="s">
        <v>232</v>
      </c>
      <c r="B22" s="877"/>
      <c r="C22" s="877"/>
      <c r="D22" s="877"/>
      <c r="G22" s="876"/>
      <c r="H22" s="876"/>
      <c r="I22" s="876"/>
    </row>
    <row r="23" spans="1:9">
      <c r="G23" s="876"/>
      <c r="H23" s="876"/>
      <c r="I23" s="876"/>
    </row>
    <row r="24" spans="1:9">
      <c r="G24" s="876"/>
      <c r="H24" s="876"/>
      <c r="I24" s="876"/>
    </row>
    <row r="25" spans="1:9">
      <c r="G25" s="876"/>
      <c r="H25" s="876"/>
      <c r="I25" s="876"/>
    </row>
    <row r="26" spans="1:9">
      <c r="A26" t="s">
        <v>233</v>
      </c>
      <c r="G26" s="876"/>
      <c r="H26" s="876"/>
      <c r="I26" s="876"/>
    </row>
    <row r="28" spans="1:9">
      <c r="A28" s="878" t="s">
        <v>207</v>
      </c>
      <c r="B28" s="878"/>
      <c r="C28" s="878"/>
    </row>
    <row r="29" spans="1:9">
      <c r="A29" s="878"/>
      <c r="B29" s="878"/>
      <c r="C29" s="878"/>
    </row>
    <row r="30" spans="1:9">
      <c r="A30" s="878"/>
      <c r="B30" s="878"/>
      <c r="C30" s="878"/>
    </row>
    <row r="31" spans="1:9">
      <c r="A31" s="878"/>
      <c r="B31" s="878"/>
      <c r="C31" s="878"/>
    </row>
    <row r="32" spans="1:9">
      <c r="A32" s="878"/>
      <c r="B32" s="878"/>
      <c r="C32" s="878"/>
    </row>
  </sheetData>
  <mergeCells count="5">
    <mergeCell ref="G18:I26"/>
    <mergeCell ref="A20:D20"/>
    <mergeCell ref="A21:D21"/>
    <mergeCell ref="A22:D22"/>
    <mergeCell ref="A28:C3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C60"/>
  <sheetViews>
    <sheetView topLeftCell="M1" workbookViewId="0">
      <selection activeCell="Z7" sqref="Z7"/>
    </sheetView>
  </sheetViews>
  <sheetFormatPr defaultColWidth="11.42578125" defaultRowHeight="15"/>
  <cols>
    <col min="1" max="1" width="20.42578125" customWidth="1"/>
    <col min="3" max="3" width="11.7109375" customWidth="1"/>
    <col min="6" max="6" width="12" customWidth="1"/>
    <col min="7" max="7" width="10.85546875" style="3"/>
    <col min="9" max="9" width="11.28515625" customWidth="1"/>
    <col min="12" max="12" width="11.7109375" customWidth="1"/>
    <col min="15" max="15" width="12.28515625" customWidth="1"/>
    <col min="17" max="17" width="11.85546875" bestFit="1" customWidth="1"/>
    <col min="18" max="18" width="11.85546875" customWidth="1"/>
    <col min="25" max="25" width="20.85546875" bestFit="1" customWidth="1"/>
  </cols>
  <sheetData>
    <row r="1" spans="1:29" ht="18.75">
      <c r="A1" s="209" t="s">
        <v>20</v>
      </c>
      <c r="B1" s="209"/>
      <c r="C1" s="209"/>
      <c r="D1" s="210"/>
      <c r="E1" s="120"/>
      <c r="F1" s="120"/>
      <c r="G1" s="210"/>
      <c r="H1" s="120"/>
      <c r="I1" s="120"/>
      <c r="J1" s="210"/>
      <c r="K1" s="210"/>
      <c r="L1" s="210"/>
      <c r="M1" s="210"/>
      <c r="N1" s="210"/>
      <c r="O1" s="210"/>
      <c r="P1" s="210"/>
      <c r="Q1" s="120"/>
      <c r="R1" s="120"/>
      <c r="S1" s="120"/>
      <c r="T1" s="120"/>
      <c r="U1" s="120"/>
      <c r="V1" s="120"/>
      <c r="W1" s="120"/>
      <c r="X1" s="120"/>
      <c r="Y1" s="120"/>
      <c r="Z1" s="212"/>
    </row>
    <row r="2" spans="1:29" ht="16.5" thickBot="1">
      <c r="A2" s="213"/>
      <c r="B2" s="120"/>
      <c r="C2" s="120"/>
      <c r="D2" s="210"/>
      <c r="E2" s="120"/>
      <c r="F2" s="120"/>
      <c r="G2" s="210"/>
      <c r="H2" s="120"/>
      <c r="I2" s="120"/>
      <c r="J2" s="210"/>
      <c r="K2" s="210"/>
      <c r="L2" s="210"/>
      <c r="M2" s="210"/>
      <c r="N2" s="210"/>
      <c r="O2" s="210"/>
      <c r="P2" s="210"/>
      <c r="Q2" s="120"/>
      <c r="R2" s="120"/>
      <c r="S2" s="120"/>
      <c r="T2" s="120"/>
      <c r="U2" s="120"/>
      <c r="V2" s="120"/>
      <c r="W2" s="120"/>
      <c r="X2" s="120"/>
      <c r="Y2" s="120"/>
      <c r="Z2" s="212"/>
    </row>
    <row r="3" spans="1:29" ht="15.75" thickBot="1">
      <c r="A3" s="211"/>
      <c r="B3" s="885">
        <v>2012</v>
      </c>
      <c r="C3" s="880"/>
      <c r="D3" s="881"/>
      <c r="E3" s="886">
        <v>2013</v>
      </c>
      <c r="F3" s="887"/>
      <c r="G3" s="888"/>
      <c r="H3" s="879">
        <v>2014</v>
      </c>
      <c r="I3" s="880"/>
      <c r="J3" s="881"/>
      <c r="K3" s="886">
        <v>2015</v>
      </c>
      <c r="L3" s="887"/>
      <c r="M3" s="888"/>
      <c r="N3" s="879">
        <v>2016</v>
      </c>
      <c r="O3" s="880"/>
      <c r="P3" s="881"/>
      <c r="Q3" s="889">
        <v>2017</v>
      </c>
      <c r="R3" s="890"/>
      <c r="S3" s="891"/>
      <c r="T3" s="879">
        <v>2018</v>
      </c>
      <c r="U3" s="880"/>
      <c r="V3" s="881"/>
    </row>
    <row r="4" spans="1:29" ht="90.75" thickBot="1">
      <c r="A4" s="214"/>
      <c r="B4" s="313" t="s">
        <v>33</v>
      </c>
      <c r="C4" s="314" t="s">
        <v>34</v>
      </c>
      <c r="D4" s="315" t="s">
        <v>35</v>
      </c>
      <c r="E4" s="274" t="s">
        <v>33</v>
      </c>
      <c r="F4" s="275" t="s">
        <v>34</v>
      </c>
      <c r="G4" s="276" t="s">
        <v>35</v>
      </c>
      <c r="H4" s="313" t="s">
        <v>33</v>
      </c>
      <c r="I4" s="314" t="s">
        <v>34</v>
      </c>
      <c r="J4" s="315" t="s">
        <v>35</v>
      </c>
      <c r="K4" s="274" t="s">
        <v>33</v>
      </c>
      <c r="L4" s="275" t="s">
        <v>34</v>
      </c>
      <c r="M4" s="276" t="s">
        <v>35</v>
      </c>
      <c r="N4" s="313" t="s">
        <v>33</v>
      </c>
      <c r="O4" s="314" t="s">
        <v>34</v>
      </c>
      <c r="P4" s="315" t="s">
        <v>35</v>
      </c>
      <c r="Q4" s="281" t="s">
        <v>33</v>
      </c>
      <c r="R4" s="282" t="s">
        <v>34</v>
      </c>
      <c r="S4" s="283" t="s">
        <v>35</v>
      </c>
      <c r="T4" s="313" t="s">
        <v>33</v>
      </c>
      <c r="U4" s="314" t="s">
        <v>34</v>
      </c>
      <c r="V4" s="315" t="s">
        <v>35</v>
      </c>
      <c r="X4" s="807"/>
      <c r="Y4" s="808"/>
      <c r="Z4" s="807"/>
      <c r="AA4" s="808"/>
      <c r="AC4" s="5"/>
    </row>
    <row r="5" spans="1:29" ht="16.5" thickBot="1">
      <c r="A5" s="265" t="s">
        <v>26</v>
      </c>
      <c r="B5" s="277"/>
      <c r="C5" s="277"/>
      <c r="D5" s="273"/>
      <c r="E5" s="277"/>
      <c r="F5" s="277"/>
      <c r="G5" s="273"/>
      <c r="H5" s="277"/>
      <c r="I5" s="277"/>
      <c r="J5" s="273"/>
      <c r="K5" s="278"/>
      <c r="L5" s="278"/>
      <c r="M5" s="273"/>
      <c r="N5" s="273"/>
      <c r="O5" s="279"/>
      <c r="P5" s="273"/>
      <c r="Q5" s="211"/>
      <c r="R5" s="211"/>
      <c r="S5" s="210"/>
      <c r="T5" s="798"/>
      <c r="U5" s="799"/>
      <c r="V5" s="798"/>
      <c r="X5" s="809"/>
      <c r="Y5" s="807"/>
      <c r="Z5" s="807"/>
      <c r="AA5" s="807"/>
    </row>
    <row r="6" spans="1:29">
      <c r="A6" s="269" t="s">
        <v>32</v>
      </c>
      <c r="B6" s="303">
        <v>2111943</v>
      </c>
      <c r="C6" s="304">
        <f>C8+C10</f>
        <v>1375156</v>
      </c>
      <c r="D6" s="305">
        <f>C6/B6</f>
        <v>0.65113310349758491</v>
      </c>
      <c r="E6" s="270">
        <v>2119954</v>
      </c>
      <c r="F6" s="271">
        <f>SUM(F8+F10)</f>
        <v>1522636</v>
      </c>
      <c r="G6" s="272">
        <f>F6/E6</f>
        <v>0.7182401127571636</v>
      </c>
      <c r="H6" s="316">
        <v>2129195</v>
      </c>
      <c r="I6" s="304">
        <f>SUM(I8+I10)</f>
        <v>1477718</v>
      </c>
      <c r="J6" s="305">
        <f>I6/H6</f>
        <v>0.69402661569278534</v>
      </c>
      <c r="K6" s="270">
        <v>2147262</v>
      </c>
      <c r="L6" s="271">
        <f>SUM(L8+L10)</f>
        <v>1537006</v>
      </c>
      <c r="M6" s="272">
        <f>L6/K6</f>
        <v>0.71579807214955604</v>
      </c>
      <c r="N6" s="316">
        <v>2148725</v>
      </c>
      <c r="O6" s="304">
        <f>SUM(O8+O10)</f>
        <v>1554887</v>
      </c>
      <c r="P6" s="305">
        <f>O6/N6</f>
        <v>0.72363238664789586</v>
      </c>
      <c r="Q6" s="262">
        <v>2162211</v>
      </c>
      <c r="R6" s="256">
        <f>SUM(R8+R10)</f>
        <v>1576983</v>
      </c>
      <c r="S6" s="797">
        <f>R6/Q6</f>
        <v>0.72933816357423031</v>
      </c>
      <c r="T6" s="803">
        <v>2194452</v>
      </c>
      <c r="U6" s="805">
        <f>SUM(U10,U8)</f>
        <v>1593977</v>
      </c>
      <c r="V6" s="288">
        <f>U6/T6</f>
        <v>0.72636676491442964</v>
      </c>
      <c r="X6" s="810"/>
      <c r="Y6" s="807"/>
      <c r="Z6" s="807"/>
      <c r="AA6" s="807"/>
    </row>
    <row r="7" spans="1:29">
      <c r="A7" s="267" t="s">
        <v>31</v>
      </c>
      <c r="B7" s="306">
        <v>6274</v>
      </c>
      <c r="C7" s="290">
        <v>14065</v>
      </c>
      <c r="D7" s="291"/>
      <c r="E7" s="246">
        <v>6871</v>
      </c>
      <c r="F7" s="237">
        <f>SQRT(SUM(F9^2)+(F11^2))</f>
        <v>14544.329651104585</v>
      </c>
      <c r="G7" s="247"/>
      <c r="H7" s="289">
        <v>6975</v>
      </c>
      <c r="I7" s="290">
        <f>SQRT(SUM(I9^2)+(I11^2))</f>
        <v>15093.784283604957</v>
      </c>
      <c r="J7" s="317"/>
      <c r="K7" s="246">
        <v>7978</v>
      </c>
      <c r="L7" s="237">
        <f>SQRT(SUM(L9^2)+(L11^2))</f>
        <v>14705.840914412205</v>
      </c>
      <c r="M7" s="254"/>
      <c r="N7" s="289">
        <v>7378</v>
      </c>
      <c r="O7" s="290">
        <f>SQRT(SUM(O9^2)+(O11^2))</f>
        <v>15602.180264309216</v>
      </c>
      <c r="P7" s="317"/>
      <c r="Q7" s="246">
        <v>7986</v>
      </c>
      <c r="R7" s="237">
        <f>SQRT(SUM(R9^2)+(R11^2))</f>
        <v>15342.787393430179</v>
      </c>
      <c r="S7" s="800"/>
      <c r="T7" s="289">
        <v>6925</v>
      </c>
      <c r="U7" s="290">
        <f>SQRT(SUM(U9^2)+(U11^2))</f>
        <v>0</v>
      </c>
      <c r="V7" s="317"/>
      <c r="X7" s="811"/>
      <c r="Y7" s="807"/>
      <c r="Z7" s="807"/>
      <c r="AA7" s="807"/>
    </row>
    <row r="8" spans="1:29">
      <c r="A8" s="266" t="s">
        <v>30</v>
      </c>
      <c r="B8" s="307">
        <v>1508810</v>
      </c>
      <c r="C8" s="293">
        <v>1161837</v>
      </c>
      <c r="D8" s="294">
        <f>C8/B8</f>
        <v>0.77003532585282441</v>
      </c>
      <c r="E8" s="248">
        <v>1516900</v>
      </c>
      <c r="F8" s="238">
        <v>1225765</v>
      </c>
      <c r="G8" s="245">
        <f>F8/E8</f>
        <v>0.80807238446832352</v>
      </c>
      <c r="H8" s="292">
        <v>1526408</v>
      </c>
      <c r="I8" s="293">
        <v>1202677</v>
      </c>
      <c r="J8" s="294">
        <f>I8/H8</f>
        <v>0.78791319227886647</v>
      </c>
      <c r="K8" s="248">
        <v>1523273</v>
      </c>
      <c r="L8" s="238">
        <v>1221128</v>
      </c>
      <c r="M8" s="245">
        <f>L8/K8</f>
        <v>0.80164750507624039</v>
      </c>
      <c r="N8" s="292">
        <v>1532031</v>
      </c>
      <c r="O8" s="293">
        <v>1237413</v>
      </c>
      <c r="P8" s="294">
        <f>O8/N8</f>
        <v>0.80769449182164066</v>
      </c>
      <c r="Q8" s="248">
        <v>1547594</v>
      </c>
      <c r="R8" s="238">
        <v>1261579</v>
      </c>
      <c r="S8" s="801">
        <f>R8/Q8</f>
        <v>0.81518731657010823</v>
      </c>
      <c r="T8" s="804">
        <v>1567939</v>
      </c>
      <c r="U8" s="304">
        <v>1275869</v>
      </c>
      <c r="V8" s="294">
        <f>U8/T8</f>
        <v>0.81372362062554726</v>
      </c>
      <c r="X8" s="810"/>
      <c r="Y8" s="807"/>
      <c r="Z8" s="807"/>
      <c r="AA8" s="807"/>
    </row>
    <row r="9" spans="1:29">
      <c r="A9" s="267" t="s">
        <v>31</v>
      </c>
      <c r="B9" s="308">
        <v>9302</v>
      </c>
      <c r="C9" s="302">
        <v>11941</v>
      </c>
      <c r="D9" s="295"/>
      <c r="E9" s="249">
        <v>9427</v>
      </c>
      <c r="F9" s="239">
        <v>12130</v>
      </c>
      <c r="G9" s="250"/>
      <c r="H9" s="301">
        <v>9904</v>
      </c>
      <c r="I9" s="302">
        <v>12982</v>
      </c>
      <c r="J9" s="317"/>
      <c r="K9" s="249">
        <v>9834</v>
      </c>
      <c r="L9" s="239">
        <v>12171</v>
      </c>
      <c r="M9" s="254"/>
      <c r="N9" s="301">
        <v>9426</v>
      </c>
      <c r="O9" s="302">
        <v>13077</v>
      </c>
      <c r="P9" s="317"/>
      <c r="Q9" s="249">
        <v>10546</v>
      </c>
      <c r="R9" s="239">
        <v>12962</v>
      </c>
      <c r="S9" s="800"/>
      <c r="T9" s="301">
        <v>9341</v>
      </c>
      <c r="U9" s="302"/>
      <c r="V9" s="317"/>
      <c r="X9" s="811"/>
      <c r="Y9" s="807"/>
      <c r="Z9" s="807"/>
      <c r="AA9" s="807"/>
    </row>
    <row r="10" spans="1:29">
      <c r="A10" s="266" t="s">
        <v>28</v>
      </c>
      <c r="B10" s="309">
        <v>603133</v>
      </c>
      <c r="C10" s="297">
        <v>213319</v>
      </c>
      <c r="D10" s="294">
        <f>C10/B10</f>
        <v>0.35368484231504493</v>
      </c>
      <c r="E10" s="244">
        <v>603054</v>
      </c>
      <c r="F10" s="236">
        <v>296871</v>
      </c>
      <c r="G10" s="245">
        <f>F10/E10</f>
        <v>0.49227929837129014</v>
      </c>
      <c r="H10" s="296">
        <v>602789</v>
      </c>
      <c r="I10" s="297">
        <v>275041</v>
      </c>
      <c r="J10" s="294">
        <f>I10/H10</f>
        <v>0.45628072177826734</v>
      </c>
      <c r="K10" s="244">
        <v>623989</v>
      </c>
      <c r="L10" s="236">
        <v>315878</v>
      </c>
      <c r="M10" s="245">
        <f>L10/K10</f>
        <v>0.5062236674043934</v>
      </c>
      <c r="N10" s="296">
        <v>616694</v>
      </c>
      <c r="O10" s="297">
        <v>317474</v>
      </c>
      <c r="P10" s="294">
        <f>O10/N10</f>
        <v>0.51479988454565795</v>
      </c>
      <c r="Q10" s="244">
        <v>614617</v>
      </c>
      <c r="R10" s="236">
        <v>315404</v>
      </c>
      <c r="S10" s="801">
        <f>R10/Q10</f>
        <v>0.51317161744631212</v>
      </c>
      <c r="T10" s="804">
        <v>626513</v>
      </c>
      <c r="U10" s="297">
        <v>318108</v>
      </c>
      <c r="V10" s="294">
        <f>U10/T10</f>
        <v>0.50774365416200462</v>
      </c>
      <c r="X10" s="810"/>
      <c r="Y10" s="807"/>
      <c r="Z10" s="807"/>
      <c r="AA10" s="807"/>
    </row>
    <row r="11" spans="1:29" ht="15.75" thickBot="1">
      <c r="A11" s="268" t="s">
        <v>31</v>
      </c>
      <c r="B11" s="310">
        <v>9212</v>
      </c>
      <c r="C11" s="311">
        <v>7432</v>
      </c>
      <c r="D11" s="312"/>
      <c r="E11" s="251">
        <v>9033</v>
      </c>
      <c r="F11" s="253">
        <v>8025</v>
      </c>
      <c r="G11" s="252"/>
      <c r="H11" s="298">
        <v>9268</v>
      </c>
      <c r="I11" s="299">
        <v>7700</v>
      </c>
      <c r="J11" s="318"/>
      <c r="K11" s="251">
        <v>9511</v>
      </c>
      <c r="L11" s="253">
        <v>8254</v>
      </c>
      <c r="M11" s="255"/>
      <c r="N11" s="298">
        <v>8476</v>
      </c>
      <c r="O11" s="299">
        <v>8510</v>
      </c>
      <c r="P11" s="318"/>
      <c r="Q11" s="251">
        <v>8689</v>
      </c>
      <c r="R11" s="253">
        <v>8209</v>
      </c>
      <c r="S11" s="802"/>
      <c r="T11" s="298">
        <v>8243</v>
      </c>
      <c r="U11" s="299"/>
      <c r="V11" s="318"/>
      <c r="X11" s="811"/>
      <c r="Y11" s="807"/>
      <c r="Z11" s="808"/>
      <c r="AA11" s="807"/>
    </row>
    <row r="12" spans="1:29" ht="15.75" thickBot="1">
      <c r="A12" s="229"/>
      <c r="B12" s="225"/>
      <c r="C12" s="225"/>
      <c r="D12" s="228"/>
      <c r="E12" s="225"/>
      <c r="F12" s="225"/>
      <c r="G12" s="228"/>
      <c r="H12" s="225"/>
      <c r="I12" s="225"/>
      <c r="J12" s="228"/>
      <c r="K12" s="225"/>
      <c r="L12" s="225"/>
      <c r="M12" s="228"/>
      <c r="N12" s="225"/>
      <c r="O12" s="225"/>
      <c r="P12" s="228"/>
      <c r="Q12" s="225"/>
      <c r="R12" s="225"/>
      <c r="S12" s="228"/>
      <c r="T12" s="225"/>
      <c r="U12" s="225"/>
      <c r="V12" s="228"/>
      <c r="X12" s="812"/>
      <c r="Y12" s="807"/>
      <c r="Z12" s="808"/>
      <c r="AA12" s="807"/>
    </row>
    <row r="13" spans="1:29" ht="16.5" thickBot="1">
      <c r="A13" s="265" t="s">
        <v>29</v>
      </c>
      <c r="B13" s="220"/>
      <c r="C13" s="220"/>
      <c r="D13" s="230"/>
      <c r="E13" s="220"/>
      <c r="F13" s="220"/>
      <c r="G13" s="230"/>
      <c r="H13" s="220"/>
      <c r="I13" s="220"/>
      <c r="J13" s="210"/>
      <c r="K13" s="220"/>
      <c r="L13" s="220"/>
      <c r="M13" s="210"/>
      <c r="N13" s="220"/>
      <c r="O13" s="220"/>
      <c r="P13" s="210"/>
      <c r="Q13" s="220"/>
      <c r="R13" s="220"/>
      <c r="S13" s="210"/>
      <c r="T13" s="220"/>
      <c r="U13" s="220"/>
      <c r="V13" s="210"/>
      <c r="X13" s="809"/>
      <c r="Y13" s="807"/>
      <c r="Z13" s="808"/>
      <c r="AA13" s="807"/>
    </row>
    <row r="14" spans="1:29">
      <c r="A14" s="264" t="s">
        <v>32</v>
      </c>
      <c r="B14" s="286">
        <v>57099</v>
      </c>
      <c r="C14" s="287">
        <f>SUM(C16+C18)</f>
        <v>42092</v>
      </c>
      <c r="D14" s="288">
        <f>C14/B14</f>
        <v>0.73717578241300197</v>
      </c>
      <c r="E14" s="262">
        <v>58203</v>
      </c>
      <c r="F14" s="256">
        <f>SUM(F16+F18)</f>
        <v>43456</v>
      </c>
      <c r="G14" s="280">
        <f>F14/E14</f>
        <v>0.74662818067797188</v>
      </c>
      <c r="H14" s="286">
        <v>58607</v>
      </c>
      <c r="I14" s="287">
        <f>SUM(I16+I18)</f>
        <v>44037</v>
      </c>
      <c r="J14" s="288">
        <f>I14/H14</f>
        <v>0.75139488457010251</v>
      </c>
      <c r="K14" s="262">
        <v>58101</v>
      </c>
      <c r="L14" s="256">
        <f>SUM(L16+L18)</f>
        <v>44865</v>
      </c>
      <c r="M14" s="280">
        <f>L14/K14</f>
        <v>0.77218980740434762</v>
      </c>
      <c r="N14" s="286">
        <v>61357</v>
      </c>
      <c r="O14" s="287">
        <f>SUM(O16+O18)</f>
        <v>45596</v>
      </c>
      <c r="P14" s="288">
        <f>O14/N14</f>
        <v>0.74312629365842531</v>
      </c>
      <c r="Q14" s="260">
        <v>61873</v>
      </c>
      <c r="R14" s="256">
        <f>SUM(R16+R18)</f>
        <v>46978</v>
      </c>
      <c r="S14" s="280">
        <f>R14/Q14</f>
        <v>0.75926494593764648</v>
      </c>
      <c r="T14" s="806">
        <v>63462</v>
      </c>
      <c r="U14" s="287">
        <f>SUM(U16+U18)</f>
        <v>47001</v>
      </c>
      <c r="V14" s="288" t="e">
        <f>U14/#REF!</f>
        <v>#REF!</v>
      </c>
      <c r="X14" s="810"/>
      <c r="Y14" s="807"/>
      <c r="Z14" s="807"/>
      <c r="AA14" s="807"/>
    </row>
    <row r="15" spans="1:29">
      <c r="A15" s="258" t="s">
        <v>31</v>
      </c>
      <c r="B15" s="289">
        <v>1268</v>
      </c>
      <c r="C15" s="290">
        <f>SQRT(SUM(C17^2)+(C19^2))</f>
        <v>2528.0700148532278</v>
      </c>
      <c r="D15" s="291"/>
      <c r="E15" s="246">
        <v>1268</v>
      </c>
      <c r="F15" s="237">
        <f>SQRT(SUM(F17^2)+(F19^2))</f>
        <v>2563.1950764621874</v>
      </c>
      <c r="G15" s="247"/>
      <c r="H15" s="289">
        <v>997</v>
      </c>
      <c r="I15" s="290">
        <f>SQRT(SUM(I17^2)+(I19^2))</f>
        <v>2512.6241262870976</v>
      </c>
      <c r="J15" s="317"/>
      <c r="K15" s="246">
        <v>1198</v>
      </c>
      <c r="L15" s="237">
        <f>SQRT(SUM(L17^2)+(L19^2))</f>
        <v>2066.3363714555285</v>
      </c>
      <c r="M15" s="254"/>
      <c r="N15" s="289">
        <v>1001</v>
      </c>
      <c r="O15" s="290">
        <f>SQRT(SUM(O17^2)+(O19^2))</f>
        <v>2588.2011127422074</v>
      </c>
      <c r="P15" s="317"/>
      <c r="Q15" s="241">
        <v>1343</v>
      </c>
      <c r="R15" s="237">
        <f>SQRT(SUM(R17^2)+(R19^2))</f>
        <v>3206.6830214413148</v>
      </c>
      <c r="S15" s="254"/>
      <c r="T15" s="289">
        <v>1096</v>
      </c>
      <c r="U15" s="290">
        <f>SQRT(SUM(U17^2)+(U19^2))</f>
        <v>0</v>
      </c>
      <c r="V15" s="317"/>
      <c r="X15" s="811"/>
      <c r="Y15" s="807"/>
      <c r="Z15" s="807"/>
      <c r="AA15" s="807"/>
    </row>
    <row r="16" spans="1:29">
      <c r="A16" s="257" t="s">
        <v>30</v>
      </c>
      <c r="B16" s="292">
        <v>41786</v>
      </c>
      <c r="C16" s="293">
        <v>34570</v>
      </c>
      <c r="D16" s="294">
        <f>C16/B16</f>
        <v>0.82731058249174361</v>
      </c>
      <c r="E16" s="248">
        <v>43525</v>
      </c>
      <c r="F16" s="238">
        <v>35869</v>
      </c>
      <c r="G16" s="245">
        <f>F16/E16</f>
        <v>0.82410109132682363</v>
      </c>
      <c r="H16" s="292">
        <v>42583</v>
      </c>
      <c r="I16" s="293">
        <v>35934</v>
      </c>
      <c r="J16" s="294">
        <f>I16/H16</f>
        <v>0.84385787755677144</v>
      </c>
      <c r="K16" s="248">
        <v>43301</v>
      </c>
      <c r="L16" s="238">
        <v>37364</v>
      </c>
      <c r="M16" s="245">
        <f>L16/K16</f>
        <v>0.86289000254035708</v>
      </c>
      <c r="N16" s="292">
        <v>45758</v>
      </c>
      <c r="O16" s="293">
        <v>38294</v>
      </c>
      <c r="P16" s="294">
        <f>O16/N16</f>
        <v>0.83688098256042665</v>
      </c>
      <c r="Q16" s="242">
        <v>45161</v>
      </c>
      <c r="R16" s="238">
        <v>38205</v>
      </c>
      <c r="S16" s="245">
        <f>R16/Q16</f>
        <v>0.84597329554261425</v>
      </c>
      <c r="T16" s="804">
        <v>44114</v>
      </c>
      <c r="U16" s="293">
        <v>36881</v>
      </c>
      <c r="V16" s="294" t="e">
        <f>U16/#REF!</f>
        <v>#REF!</v>
      </c>
      <c r="X16" s="810"/>
      <c r="Y16" s="807"/>
      <c r="Z16" s="808"/>
      <c r="AA16" s="807"/>
    </row>
    <row r="17" spans="1:27">
      <c r="A17" s="258" t="s">
        <v>31</v>
      </c>
      <c r="B17" s="301">
        <v>1243</v>
      </c>
      <c r="C17" s="302">
        <v>2207</v>
      </c>
      <c r="D17" s="295"/>
      <c r="E17" s="249">
        <v>1497</v>
      </c>
      <c r="F17" s="239">
        <v>2212</v>
      </c>
      <c r="G17" s="250"/>
      <c r="H17" s="301">
        <v>1496</v>
      </c>
      <c r="I17" s="302">
        <v>2128</v>
      </c>
      <c r="J17" s="317"/>
      <c r="K17" s="249">
        <v>1222</v>
      </c>
      <c r="L17" s="239">
        <v>1615</v>
      </c>
      <c r="M17" s="254"/>
      <c r="N17" s="301">
        <v>1395</v>
      </c>
      <c r="O17" s="302">
        <v>2289</v>
      </c>
      <c r="P17" s="317"/>
      <c r="Q17" s="243">
        <v>1262</v>
      </c>
      <c r="R17" s="239">
        <v>2904</v>
      </c>
      <c r="S17" s="254"/>
      <c r="T17" s="301">
        <v>1643</v>
      </c>
      <c r="U17" s="302"/>
      <c r="V17" s="317"/>
      <c r="X17" s="811"/>
      <c r="Y17" s="807"/>
      <c r="Z17" s="808"/>
      <c r="AA17" s="807"/>
    </row>
    <row r="18" spans="1:27">
      <c r="A18" s="257" t="s">
        <v>28</v>
      </c>
      <c r="B18" s="296">
        <v>15331</v>
      </c>
      <c r="C18" s="297">
        <v>7522</v>
      </c>
      <c r="D18" s="294">
        <f>C18/B18</f>
        <v>0.49063987998173636</v>
      </c>
      <c r="E18" s="244">
        <v>14687</v>
      </c>
      <c r="F18" s="236">
        <v>7587</v>
      </c>
      <c r="G18" s="245">
        <f>F18/E18</f>
        <v>0.5165792878055423</v>
      </c>
      <c r="H18" s="296">
        <v>16024</v>
      </c>
      <c r="I18" s="297">
        <v>8103</v>
      </c>
      <c r="J18" s="294">
        <f>I18/H18</f>
        <v>0.5056789815277084</v>
      </c>
      <c r="K18" s="244">
        <v>14800</v>
      </c>
      <c r="L18" s="236">
        <v>7501</v>
      </c>
      <c r="M18" s="245">
        <f>L18/K18</f>
        <v>0.50682432432432434</v>
      </c>
      <c r="N18" s="296">
        <v>15599</v>
      </c>
      <c r="O18" s="297">
        <v>7302</v>
      </c>
      <c r="P18" s="294">
        <f>O18/N18</f>
        <v>0.46810692993140585</v>
      </c>
      <c r="Q18" s="240">
        <v>16712</v>
      </c>
      <c r="R18" s="236">
        <v>8773</v>
      </c>
      <c r="S18" s="245">
        <f>R18/Q18</f>
        <v>0.52495213020584008</v>
      </c>
      <c r="T18" s="804">
        <v>19348</v>
      </c>
      <c r="U18" s="297">
        <v>10120</v>
      </c>
      <c r="V18" s="294" t="e">
        <f>U18/#REF!</f>
        <v>#REF!</v>
      </c>
      <c r="X18" s="810"/>
      <c r="Y18" s="807"/>
      <c r="Z18" s="807"/>
      <c r="AA18" s="807"/>
    </row>
    <row r="19" spans="1:27" ht="15.75" thickBot="1">
      <c r="A19" s="259" t="s">
        <v>31</v>
      </c>
      <c r="B19" s="298">
        <v>1327</v>
      </c>
      <c r="C19" s="299">
        <v>1233</v>
      </c>
      <c r="D19" s="300"/>
      <c r="E19" s="251">
        <v>1332</v>
      </c>
      <c r="F19" s="253">
        <v>1295</v>
      </c>
      <c r="G19" s="263"/>
      <c r="H19" s="298">
        <v>1470</v>
      </c>
      <c r="I19" s="299">
        <v>1336</v>
      </c>
      <c r="J19" s="318"/>
      <c r="K19" s="251">
        <v>1289</v>
      </c>
      <c r="L19" s="253">
        <v>1289</v>
      </c>
      <c r="M19" s="255"/>
      <c r="N19" s="298">
        <v>1418</v>
      </c>
      <c r="O19" s="299">
        <v>1208</v>
      </c>
      <c r="P19" s="318"/>
      <c r="Q19" s="261">
        <v>1191</v>
      </c>
      <c r="R19" s="253">
        <v>1360</v>
      </c>
      <c r="S19" s="255"/>
      <c r="T19" s="298">
        <v>1535</v>
      </c>
      <c r="U19" s="299"/>
      <c r="V19" s="318"/>
      <c r="X19" s="811"/>
      <c r="Y19" s="807"/>
      <c r="Z19" s="807"/>
      <c r="AA19" s="807"/>
    </row>
    <row r="20" spans="1:27" ht="15.75" thickBot="1">
      <c r="A20" s="231"/>
      <c r="B20" s="220"/>
      <c r="C20" s="220"/>
      <c r="D20" s="230"/>
      <c r="E20" s="220"/>
      <c r="F20" s="220"/>
      <c r="G20" s="230"/>
      <c r="H20" s="220"/>
      <c r="I20" s="220"/>
      <c r="J20" s="230"/>
      <c r="K20" s="230"/>
      <c r="L20" s="230"/>
      <c r="M20" s="230"/>
      <c r="N20" s="230"/>
      <c r="O20" s="230"/>
      <c r="P20" s="230"/>
      <c r="Q20" s="230"/>
      <c r="R20" s="230"/>
      <c r="S20" s="230"/>
      <c r="T20" s="230"/>
      <c r="U20" s="230"/>
      <c r="V20" s="230"/>
      <c r="X20" s="813"/>
      <c r="Y20" s="807"/>
      <c r="Z20" s="808"/>
      <c r="AA20" s="807"/>
    </row>
    <row r="21" spans="1:27" ht="16.5" thickBot="1">
      <c r="A21" s="284" t="s">
        <v>27</v>
      </c>
      <c r="B21" s="220"/>
      <c r="C21" s="220"/>
      <c r="D21" s="230"/>
      <c r="E21" s="220"/>
      <c r="F21" s="220"/>
      <c r="G21" s="230"/>
      <c r="H21" s="220"/>
      <c r="I21" s="220"/>
      <c r="J21" s="230"/>
      <c r="K21" s="230"/>
      <c r="L21" s="230"/>
      <c r="M21" s="230"/>
      <c r="N21" s="230"/>
      <c r="O21" s="230"/>
      <c r="P21" s="230"/>
      <c r="Q21" s="230"/>
      <c r="R21" s="230"/>
      <c r="S21" s="230"/>
      <c r="T21" s="230"/>
      <c r="U21" s="230"/>
      <c r="V21" s="230"/>
      <c r="X21" s="809"/>
      <c r="Y21" s="807"/>
      <c r="Z21" s="808"/>
      <c r="AA21" s="807"/>
    </row>
    <row r="22" spans="1:27">
      <c r="A22" s="285" t="s">
        <v>32</v>
      </c>
      <c r="B22" s="286">
        <v>43101</v>
      </c>
      <c r="C22" s="287">
        <f>SUM(C24+C26)</f>
        <v>31635</v>
      </c>
      <c r="D22" s="288">
        <f>C22/B22</f>
        <v>0.73397368970557531</v>
      </c>
      <c r="E22" s="262">
        <v>43712</v>
      </c>
      <c r="F22" s="256">
        <f>SUM(F24+F26)</f>
        <v>32497</v>
      </c>
      <c r="G22" s="280">
        <f>F22/E22</f>
        <v>0.74343429721815524</v>
      </c>
      <c r="H22" s="286">
        <v>44661</v>
      </c>
      <c r="I22" s="287">
        <f>SUM(I24+I26)</f>
        <v>32853</v>
      </c>
      <c r="J22" s="288">
        <f>I22/H22</f>
        <v>0.73560824880768461</v>
      </c>
      <c r="K22" s="262">
        <v>43018</v>
      </c>
      <c r="L22" s="256">
        <f>SUM(L24+L26)</f>
        <v>32699</v>
      </c>
      <c r="M22" s="280">
        <f>L22/K22</f>
        <v>0.76012366916174623</v>
      </c>
      <c r="N22" s="286">
        <v>46478</v>
      </c>
      <c r="O22" s="287">
        <f>SUM(O24+O26)</f>
        <v>33915</v>
      </c>
      <c r="P22" s="288">
        <f>O22/N22</f>
        <v>0.72970007315288954</v>
      </c>
      <c r="Q22" s="262">
        <v>46645</v>
      </c>
      <c r="R22" s="256">
        <f>SUM(R24+R26)</f>
        <v>35277</v>
      </c>
      <c r="S22" s="280">
        <f>R22/Q22</f>
        <v>0.75628684746489439</v>
      </c>
      <c r="T22" s="806">
        <v>49361</v>
      </c>
      <c r="U22" s="287">
        <f>SUM(U24+U26)</f>
        <v>35809</v>
      </c>
      <c r="V22" s="288">
        <f>U22/T22</f>
        <v>0.72545126719474884</v>
      </c>
      <c r="X22" s="810"/>
      <c r="Y22" s="807"/>
      <c r="Z22" s="808"/>
      <c r="AA22" s="807"/>
    </row>
    <row r="23" spans="1:27">
      <c r="A23" s="258" t="s">
        <v>31</v>
      </c>
      <c r="B23" s="289">
        <v>1150</v>
      </c>
      <c r="C23" s="290">
        <f>SQRT(SUM(C25^2)+(C27^2))</f>
        <v>2291.4179016495441</v>
      </c>
      <c r="D23" s="291"/>
      <c r="E23" s="246">
        <v>1347</v>
      </c>
      <c r="F23" s="237">
        <f>SQRT(SUM(F25^2)+(F27^2))</f>
        <v>2307.1751125564788</v>
      </c>
      <c r="G23" s="247"/>
      <c r="H23" s="289">
        <v>1030</v>
      </c>
      <c r="I23" s="290">
        <f>SQRT(SUM(I25^2)+(I27^2))</f>
        <v>2367.830441564598</v>
      </c>
      <c r="J23" s="291"/>
      <c r="K23" s="246">
        <v>1187</v>
      </c>
      <c r="L23" s="237">
        <f>SQRT(SUM(L25^2)+(L27^2))</f>
        <v>2045.7871345768112</v>
      </c>
      <c r="M23" s="247"/>
      <c r="N23" s="289">
        <v>1171</v>
      </c>
      <c r="O23" s="290">
        <f>SQRT(SUM(O25^2)+(O27^2))</f>
        <v>2296.8807108772539</v>
      </c>
      <c r="P23" s="291"/>
      <c r="Q23" s="246">
        <v>1338</v>
      </c>
      <c r="R23" s="237">
        <f>SQRT(SUM(R25^2)+(R27^2))</f>
        <v>2305.4392206258658</v>
      </c>
      <c r="S23" s="247"/>
      <c r="T23" s="289">
        <v>947</v>
      </c>
      <c r="U23" s="290">
        <f>SQRT(SUM(U25^2)+(U27^2))</f>
        <v>0</v>
      </c>
      <c r="V23" s="291"/>
      <c r="X23" s="811"/>
      <c r="Y23" s="807"/>
      <c r="Z23" s="807"/>
      <c r="AA23" s="807"/>
    </row>
    <row r="24" spans="1:27">
      <c r="A24" s="257" t="s">
        <v>30</v>
      </c>
      <c r="B24" s="292">
        <v>30216</v>
      </c>
      <c r="C24" s="293">
        <v>25448</v>
      </c>
      <c r="D24" s="294">
        <f>C24/B24</f>
        <v>0.84220280646015355</v>
      </c>
      <c r="E24" s="248">
        <v>30708</v>
      </c>
      <c r="F24" s="238">
        <v>25883</v>
      </c>
      <c r="G24" s="245">
        <f>F24/E24</f>
        <v>0.84287482089357824</v>
      </c>
      <c r="H24" s="292">
        <v>30679</v>
      </c>
      <c r="I24" s="293">
        <v>25913</v>
      </c>
      <c r="J24" s="294">
        <f>I24/H24</f>
        <v>0.84464943446657326</v>
      </c>
      <c r="K24" s="248">
        <v>30355</v>
      </c>
      <c r="L24" s="238">
        <v>26438</v>
      </c>
      <c r="M24" s="245">
        <f>L24/K24</f>
        <v>0.87096030308021744</v>
      </c>
      <c r="N24" s="292">
        <v>32325</v>
      </c>
      <c r="O24" s="293">
        <v>27394</v>
      </c>
      <c r="P24" s="294">
        <f>O24/N24</f>
        <v>0.84745552977571537</v>
      </c>
      <c r="Q24" s="248">
        <v>31637</v>
      </c>
      <c r="R24" s="238">
        <v>27180</v>
      </c>
      <c r="S24" s="245">
        <f>R24/Q24</f>
        <v>0.85912064987198533</v>
      </c>
      <c r="T24" s="804">
        <v>31471</v>
      </c>
      <c r="U24" s="293">
        <v>26648</v>
      </c>
      <c r="V24" s="294">
        <f>U24/T24</f>
        <v>0.84674779956150104</v>
      </c>
      <c r="X24" s="810"/>
      <c r="Y24" s="807"/>
      <c r="Z24" s="808"/>
      <c r="AA24" s="807"/>
    </row>
    <row r="25" spans="1:27">
      <c r="A25" s="258" t="s">
        <v>31</v>
      </c>
      <c r="B25" s="301">
        <v>1111</v>
      </c>
      <c r="C25" s="302">
        <v>1990</v>
      </c>
      <c r="D25" s="295"/>
      <c r="E25" s="249">
        <v>1482</v>
      </c>
      <c r="F25" s="239">
        <v>1976</v>
      </c>
      <c r="G25" s="250"/>
      <c r="H25" s="301">
        <v>1467</v>
      </c>
      <c r="I25" s="302">
        <v>2011</v>
      </c>
      <c r="J25" s="295"/>
      <c r="K25" s="249">
        <v>1074</v>
      </c>
      <c r="L25" s="239">
        <v>1694</v>
      </c>
      <c r="M25" s="250"/>
      <c r="N25" s="301">
        <v>1506</v>
      </c>
      <c r="O25" s="302">
        <v>1970</v>
      </c>
      <c r="P25" s="295"/>
      <c r="Q25" s="249">
        <v>1343</v>
      </c>
      <c r="R25" s="239">
        <v>1871</v>
      </c>
      <c r="S25" s="250"/>
      <c r="T25" s="301">
        <v>1490</v>
      </c>
      <c r="U25" s="302"/>
      <c r="V25" s="295"/>
      <c r="X25" s="811"/>
      <c r="Y25" s="807"/>
      <c r="Z25" s="808"/>
      <c r="AA25" s="807"/>
    </row>
    <row r="26" spans="1:27">
      <c r="A26" s="257" t="s">
        <v>28</v>
      </c>
      <c r="B26" s="296">
        <v>12885</v>
      </c>
      <c r="C26" s="297">
        <v>6187</v>
      </c>
      <c r="D26" s="294">
        <f>C26/B26</f>
        <v>0.48017074117190534</v>
      </c>
      <c r="E26" s="244">
        <v>13004</v>
      </c>
      <c r="F26" s="236">
        <v>6614</v>
      </c>
      <c r="G26" s="245">
        <f>F26/E26</f>
        <v>0.50861273454321743</v>
      </c>
      <c r="H26" s="296">
        <v>13982</v>
      </c>
      <c r="I26" s="297">
        <v>6940</v>
      </c>
      <c r="J26" s="294">
        <f>I26/H26</f>
        <v>0.49635245315405524</v>
      </c>
      <c r="K26" s="244">
        <v>12663</v>
      </c>
      <c r="L26" s="236">
        <v>6261</v>
      </c>
      <c r="M26" s="245">
        <f>L26/K26</f>
        <v>0.49443259891021085</v>
      </c>
      <c r="N26" s="296">
        <v>14153</v>
      </c>
      <c r="O26" s="297">
        <v>6521</v>
      </c>
      <c r="P26" s="294">
        <f>O26/N26</f>
        <v>0.46075037094608917</v>
      </c>
      <c r="Q26" s="244">
        <v>15008</v>
      </c>
      <c r="R26" s="236">
        <v>8097</v>
      </c>
      <c r="S26" s="245">
        <f>R26/Q26</f>
        <v>0.53951226012793174</v>
      </c>
      <c r="T26" s="804">
        <v>17890</v>
      </c>
      <c r="U26" s="297">
        <v>9161</v>
      </c>
      <c r="V26" s="294">
        <f>U26/T26</f>
        <v>0.51207378423700389</v>
      </c>
      <c r="X26" s="810"/>
      <c r="Y26" s="807"/>
      <c r="Z26" s="808"/>
      <c r="AA26" s="807"/>
    </row>
    <row r="27" spans="1:27" ht="15.75" thickBot="1">
      <c r="A27" s="259" t="s">
        <v>31</v>
      </c>
      <c r="B27" s="298">
        <v>1168</v>
      </c>
      <c r="C27" s="299">
        <v>1136</v>
      </c>
      <c r="D27" s="300"/>
      <c r="E27" s="251">
        <v>1265</v>
      </c>
      <c r="F27" s="253">
        <v>1191</v>
      </c>
      <c r="G27" s="263"/>
      <c r="H27" s="298">
        <v>1463</v>
      </c>
      <c r="I27" s="299">
        <v>1250</v>
      </c>
      <c r="J27" s="300"/>
      <c r="K27" s="251">
        <v>1141</v>
      </c>
      <c r="L27" s="253">
        <v>1147</v>
      </c>
      <c r="M27" s="263"/>
      <c r="N27" s="298">
        <v>1399</v>
      </c>
      <c r="O27" s="299">
        <v>1181</v>
      </c>
      <c r="P27" s="300"/>
      <c r="Q27" s="251">
        <v>1171</v>
      </c>
      <c r="R27" s="253">
        <v>1347</v>
      </c>
      <c r="S27" s="263"/>
      <c r="T27" s="298">
        <v>1466</v>
      </c>
      <c r="U27" s="299"/>
      <c r="V27" s="300"/>
      <c r="X27" s="811"/>
      <c r="Y27" s="807"/>
      <c r="Z27" s="808"/>
      <c r="AA27" s="807"/>
    </row>
    <row r="28" spans="1:27" ht="15.75" thickBot="1">
      <c r="A28" s="120"/>
      <c r="B28" s="120"/>
      <c r="C28" s="120"/>
      <c r="D28" s="210"/>
      <c r="E28" s="120"/>
      <c r="F28" s="120"/>
      <c r="G28" s="210"/>
      <c r="H28" s="120"/>
      <c r="I28" s="120"/>
      <c r="J28" s="210"/>
      <c r="K28" s="210"/>
      <c r="L28" s="210"/>
      <c r="M28" s="210"/>
      <c r="N28" s="210"/>
      <c r="O28" s="210"/>
      <c r="P28" s="210"/>
      <c r="Q28" s="120"/>
      <c r="R28" s="120"/>
      <c r="S28" s="120"/>
      <c r="T28" s="120"/>
      <c r="U28" s="120"/>
      <c r="V28" s="120"/>
      <c r="W28" s="120"/>
      <c r="X28" s="814"/>
      <c r="Y28" s="814"/>
      <c r="Z28" s="807"/>
      <c r="AA28" s="807"/>
    </row>
    <row r="29" spans="1:27" ht="15.75" thickBot="1">
      <c r="A29" s="120"/>
      <c r="B29" s="120"/>
      <c r="C29" s="120"/>
      <c r="D29" s="210"/>
      <c r="E29" s="120"/>
      <c r="F29" s="120"/>
      <c r="G29" s="210"/>
      <c r="H29" s="120"/>
      <c r="I29" s="120"/>
      <c r="J29" s="210"/>
      <c r="K29" s="210"/>
      <c r="L29" s="882" t="s">
        <v>55</v>
      </c>
      <c r="M29" s="883"/>
      <c r="N29" s="883"/>
      <c r="O29" s="883"/>
      <c r="P29" s="883"/>
      <c r="Q29" s="884"/>
      <c r="R29" s="120"/>
      <c r="S29" s="120"/>
      <c r="T29" s="120"/>
      <c r="U29" s="120"/>
      <c r="V29" s="120"/>
      <c r="W29" s="120"/>
      <c r="X29" s="814"/>
      <c r="Y29" s="814"/>
      <c r="Z29" s="808"/>
      <c r="AA29" s="807"/>
    </row>
    <row r="30" spans="1:27" ht="30">
      <c r="A30" s="120" t="s">
        <v>137</v>
      </c>
      <c r="B30" s="120"/>
      <c r="C30" s="120"/>
      <c r="D30" s="120"/>
      <c r="E30" s="120"/>
      <c r="F30" s="120"/>
      <c r="G30" s="210"/>
      <c r="H30" s="120"/>
      <c r="I30" s="120"/>
      <c r="J30" s="210"/>
      <c r="K30" s="210"/>
      <c r="L30" s="216" t="s">
        <v>56</v>
      </c>
      <c r="M30" s="215" t="s">
        <v>57</v>
      </c>
      <c r="N30" s="216" t="s">
        <v>153</v>
      </c>
      <c r="O30" s="215" t="s">
        <v>154</v>
      </c>
      <c r="P30" s="217" t="s">
        <v>197</v>
      </c>
      <c r="Q30" s="218" t="s">
        <v>198</v>
      </c>
      <c r="R30" s="120"/>
      <c r="S30" s="120"/>
      <c r="T30" s="120"/>
      <c r="U30" s="120"/>
      <c r="V30" s="120"/>
      <c r="W30" s="120"/>
      <c r="X30" s="814"/>
      <c r="Y30" s="814"/>
      <c r="Z30" s="808"/>
      <c r="AA30" s="807"/>
    </row>
    <row r="31" spans="1:27">
      <c r="A31" t="s">
        <v>288</v>
      </c>
      <c r="L31" s="219"/>
      <c r="M31" s="120"/>
      <c r="N31" s="219"/>
      <c r="O31" s="212"/>
      <c r="P31" s="120"/>
      <c r="Q31" s="212"/>
      <c r="X31" s="807"/>
      <c r="Y31" s="807"/>
      <c r="Z31" s="808"/>
      <c r="AA31" s="807"/>
    </row>
    <row r="32" spans="1:27">
      <c r="L32" s="221"/>
      <c r="M32" s="222"/>
      <c r="N32" s="221"/>
      <c r="O32" s="223"/>
      <c r="P32" s="222"/>
      <c r="Q32" s="223"/>
      <c r="X32" s="807"/>
      <c r="Y32" s="807"/>
      <c r="Z32" s="807"/>
      <c r="AA32" s="807"/>
    </row>
    <row r="33" spans="12:27">
      <c r="L33" s="226"/>
      <c r="M33" s="224"/>
      <c r="N33" s="226"/>
      <c r="O33" s="227"/>
      <c r="P33" s="224"/>
      <c r="Q33" s="227"/>
      <c r="X33" s="807"/>
      <c r="Y33" s="807"/>
      <c r="Z33" s="807"/>
      <c r="AA33" s="807"/>
    </row>
    <row r="34" spans="12:27">
      <c r="L34" s="221"/>
      <c r="M34" s="222"/>
      <c r="N34" s="221"/>
      <c r="O34" s="223"/>
      <c r="P34" s="222"/>
      <c r="Q34" s="223"/>
      <c r="X34" s="807"/>
      <c r="Y34" s="807"/>
      <c r="Z34" s="808"/>
      <c r="AA34" s="807"/>
    </row>
    <row r="35" spans="12:27">
      <c r="L35" s="221"/>
      <c r="M35" s="224"/>
      <c r="N35" s="221"/>
      <c r="O35" s="227"/>
      <c r="P35" s="224"/>
      <c r="Q35" s="227"/>
      <c r="X35" s="807"/>
      <c r="Y35" s="807"/>
      <c r="Z35" s="808"/>
      <c r="AA35" s="807"/>
    </row>
    <row r="36" spans="12:27">
      <c r="L36" s="221"/>
      <c r="M36" s="222"/>
      <c r="N36" s="221"/>
      <c r="O36" s="223"/>
      <c r="P36" s="222"/>
      <c r="Q36" s="223"/>
      <c r="X36" s="807"/>
      <c r="Y36" s="807"/>
      <c r="Z36" s="807"/>
      <c r="AA36" s="807"/>
    </row>
    <row r="37" spans="12:27">
      <c r="L37" s="221"/>
      <c r="M37" s="224"/>
      <c r="N37" s="221"/>
      <c r="O37" s="227"/>
      <c r="P37" s="224"/>
      <c r="Q37" s="227"/>
      <c r="X37" s="807"/>
      <c r="Y37" s="807"/>
      <c r="Z37" s="808"/>
      <c r="AA37" s="807"/>
    </row>
    <row r="38" spans="12:27">
      <c r="L38" s="226"/>
      <c r="M38" s="224"/>
      <c r="N38" s="226"/>
      <c r="O38" s="227"/>
      <c r="P38" s="224"/>
      <c r="Q38" s="227"/>
      <c r="X38" s="807"/>
      <c r="Y38" s="807"/>
      <c r="Z38" s="808"/>
      <c r="AA38" s="807"/>
    </row>
    <row r="39" spans="12:27">
      <c r="L39" s="219"/>
      <c r="M39" s="120"/>
      <c r="N39" s="219"/>
      <c r="O39" s="212"/>
      <c r="P39" s="120"/>
      <c r="Q39" s="212"/>
      <c r="X39" s="807"/>
      <c r="Y39" s="807"/>
      <c r="Z39" s="808"/>
      <c r="AA39" s="807"/>
    </row>
    <row r="40" spans="12:27">
      <c r="L40" s="221"/>
      <c r="M40" s="222"/>
      <c r="N40" s="221"/>
      <c r="O40" s="223"/>
      <c r="P40" s="222"/>
      <c r="Q40" s="223"/>
      <c r="X40" s="807"/>
      <c r="Y40" s="807"/>
      <c r="Z40" s="807"/>
      <c r="AA40" s="807"/>
    </row>
    <row r="41" spans="12:27">
      <c r="L41" s="226"/>
      <c r="M41" s="224"/>
      <c r="N41" s="226"/>
      <c r="O41" s="227"/>
      <c r="P41" s="224"/>
      <c r="Q41" s="227"/>
      <c r="X41" s="807"/>
      <c r="Y41" s="807"/>
      <c r="Z41" s="807"/>
      <c r="AA41" s="807"/>
    </row>
    <row r="42" spans="12:27">
      <c r="L42" s="221"/>
      <c r="M42" s="222"/>
      <c r="N42" s="221"/>
      <c r="O42" s="223"/>
      <c r="P42" s="222"/>
      <c r="Q42" s="223"/>
      <c r="X42" s="807"/>
      <c r="Y42" s="807"/>
      <c r="Z42" s="808"/>
      <c r="AA42" s="807"/>
    </row>
    <row r="43" spans="12:27">
      <c r="L43" s="221"/>
      <c r="M43" s="224"/>
      <c r="N43" s="221"/>
      <c r="O43" s="227"/>
      <c r="P43" s="224"/>
      <c r="Q43" s="227"/>
      <c r="X43" s="807"/>
      <c r="Y43" s="807"/>
      <c r="Z43" s="808"/>
      <c r="AA43" s="807"/>
    </row>
    <row r="44" spans="12:27">
      <c r="L44" s="221"/>
      <c r="M44" s="222"/>
      <c r="N44" s="221"/>
      <c r="O44" s="223"/>
      <c r="P44" s="222"/>
      <c r="Q44" s="223"/>
      <c r="X44" s="807"/>
      <c r="Y44" s="807"/>
      <c r="Z44" s="807"/>
      <c r="AA44" s="807"/>
    </row>
    <row r="45" spans="12:27">
      <c r="L45" s="226"/>
      <c r="M45" s="224"/>
      <c r="N45" s="226"/>
      <c r="O45" s="227"/>
      <c r="P45" s="224"/>
      <c r="Q45" s="227"/>
      <c r="X45" s="807"/>
      <c r="Y45" s="807"/>
      <c r="Z45" s="808"/>
      <c r="AA45" s="807"/>
    </row>
    <row r="46" spans="12:27">
      <c r="L46" s="219"/>
      <c r="M46" s="120"/>
      <c r="N46" s="219"/>
      <c r="O46" s="212"/>
      <c r="P46" s="120"/>
      <c r="Q46" s="212"/>
      <c r="X46" s="807"/>
      <c r="Y46" s="807"/>
      <c r="Z46" s="808"/>
      <c r="AA46" s="807"/>
    </row>
    <row r="47" spans="12:27">
      <c r="L47" s="219"/>
      <c r="M47" s="120"/>
      <c r="N47" s="219"/>
      <c r="O47" s="212"/>
      <c r="P47" s="120"/>
      <c r="Q47" s="212"/>
      <c r="X47" s="807"/>
      <c r="Y47" s="807"/>
      <c r="Z47" s="808"/>
      <c r="AA47" s="807"/>
    </row>
    <row r="48" spans="12:27">
      <c r="L48" s="221"/>
      <c r="M48" s="222"/>
      <c r="N48" s="221"/>
      <c r="O48" s="223"/>
      <c r="P48" s="222"/>
      <c r="Q48" s="223"/>
      <c r="X48" s="807"/>
      <c r="Y48" s="807"/>
      <c r="Z48" s="808"/>
      <c r="AA48" s="807"/>
    </row>
    <row r="49" spans="12:27">
      <c r="L49" s="226"/>
      <c r="M49" s="224"/>
      <c r="N49" s="226"/>
      <c r="O49" s="227"/>
      <c r="P49" s="224"/>
      <c r="Q49" s="227"/>
      <c r="X49" s="807"/>
      <c r="Y49" s="807"/>
      <c r="Z49" s="808"/>
      <c r="AA49" s="807"/>
    </row>
    <row r="50" spans="12:27">
      <c r="L50" s="221"/>
      <c r="M50" s="222"/>
      <c r="N50" s="221"/>
      <c r="O50" s="223"/>
      <c r="P50" s="222"/>
      <c r="Q50" s="223"/>
      <c r="X50" s="807"/>
      <c r="Y50" s="807"/>
      <c r="Z50" s="807"/>
      <c r="AA50" s="807"/>
    </row>
    <row r="51" spans="12:27">
      <c r="L51" s="221"/>
      <c r="M51" s="224"/>
      <c r="N51" s="232"/>
      <c r="O51" s="227"/>
      <c r="P51" s="224"/>
      <c r="Q51" s="227"/>
      <c r="X51" s="807"/>
      <c r="Y51" s="807"/>
      <c r="Z51" s="808"/>
      <c r="AA51" s="807"/>
    </row>
    <row r="52" spans="12:27">
      <c r="L52" s="221"/>
      <c r="M52" s="222"/>
      <c r="N52" s="221"/>
      <c r="O52" s="223"/>
      <c r="P52" s="222"/>
      <c r="Q52" s="223"/>
      <c r="X52" s="807"/>
      <c r="Y52" s="807"/>
      <c r="Z52" s="808"/>
      <c r="AA52" s="807"/>
    </row>
    <row r="53" spans="12:27">
      <c r="L53" s="233"/>
      <c r="M53" s="234"/>
      <c r="N53" s="233"/>
      <c r="O53" s="235"/>
      <c r="P53" s="234"/>
      <c r="Q53" s="235"/>
      <c r="X53" s="807"/>
      <c r="Y53" s="807"/>
      <c r="Z53" s="807"/>
      <c r="AA53" s="807"/>
    </row>
    <row r="54" spans="12:27">
      <c r="X54" s="807"/>
      <c r="Y54" s="807"/>
      <c r="Z54" s="807"/>
      <c r="AA54" s="807"/>
    </row>
    <row r="55" spans="12:27">
      <c r="X55" s="807"/>
      <c r="Y55" s="807"/>
      <c r="Z55" s="807"/>
      <c r="AA55" s="807"/>
    </row>
    <row r="56" spans="12:27">
      <c r="X56" s="807"/>
      <c r="Y56" s="807"/>
      <c r="Z56" s="807"/>
      <c r="AA56" s="807"/>
    </row>
    <row r="57" spans="12:27">
      <c r="X57" s="807"/>
      <c r="Y57" s="807"/>
      <c r="Z57" s="807"/>
      <c r="AA57" s="807"/>
    </row>
    <row r="58" spans="12:27">
      <c r="X58" s="807"/>
      <c r="Y58" s="807"/>
      <c r="Z58" s="807"/>
      <c r="AA58" s="807"/>
    </row>
    <row r="59" spans="12:27">
      <c r="X59" s="807"/>
      <c r="Y59" s="807"/>
      <c r="Z59" s="807"/>
      <c r="AA59" s="807"/>
    </row>
    <row r="60" spans="12:27">
      <c r="X60" s="807"/>
      <c r="Y60" s="807"/>
      <c r="Z60" s="807"/>
      <c r="AA60" s="807"/>
    </row>
  </sheetData>
  <mergeCells count="8">
    <mergeCell ref="T3:V3"/>
    <mergeCell ref="L29:Q29"/>
    <mergeCell ref="B3:D3"/>
    <mergeCell ref="E3:G3"/>
    <mergeCell ref="H3:J3"/>
    <mergeCell ref="K3:M3"/>
    <mergeCell ref="N3:P3"/>
    <mergeCell ref="Q3:S3"/>
  </mergeCells>
  <pageMargins left="0.7" right="0.7" top="0.75" bottom="0.75" header="0.3" footer="0.3"/>
  <pageSetup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N52"/>
  <sheetViews>
    <sheetView workbookViewId="0">
      <selection activeCell="K19" sqref="K19"/>
    </sheetView>
  </sheetViews>
  <sheetFormatPr defaultColWidth="8.85546875" defaultRowHeight="15"/>
  <cols>
    <col min="1" max="1" width="39.85546875" customWidth="1"/>
    <col min="2" max="3" width="10.42578125" customWidth="1"/>
    <col min="4" max="10" width="10.7109375" style="39" customWidth="1"/>
    <col min="11" max="11" width="40.140625" style="39" customWidth="1"/>
    <col min="12" max="12" width="36.5703125" bestFit="1" customWidth="1"/>
  </cols>
  <sheetData>
    <row r="1" spans="1:40" ht="18.75">
      <c r="A1" s="23" t="s">
        <v>114</v>
      </c>
      <c r="D1"/>
      <c r="E1"/>
      <c r="F1"/>
      <c r="G1"/>
      <c r="H1"/>
      <c r="I1"/>
      <c r="J1"/>
      <c r="K1"/>
      <c r="N1" s="5"/>
      <c r="P1" s="5"/>
      <c r="R1" s="5"/>
      <c r="T1" s="5"/>
      <c r="V1" s="5"/>
      <c r="X1" s="5"/>
      <c r="Z1" s="5"/>
      <c r="AB1" s="5"/>
      <c r="AD1" s="5"/>
      <c r="AF1" s="5"/>
      <c r="AH1" s="5"/>
      <c r="AJ1" s="5"/>
      <c r="AL1" s="5"/>
      <c r="AN1" s="5"/>
    </row>
    <row r="2" spans="1:40">
      <c r="B2" s="46">
        <v>2010</v>
      </c>
      <c r="C2" s="46">
        <v>2011</v>
      </c>
      <c r="D2" s="46">
        <v>2012</v>
      </c>
      <c r="E2" s="46">
        <v>2013</v>
      </c>
      <c r="F2" s="46">
        <v>2014</v>
      </c>
      <c r="G2" s="46">
        <v>2015</v>
      </c>
      <c r="H2" s="46">
        <v>2016</v>
      </c>
      <c r="I2" s="779">
        <v>2017</v>
      </c>
      <c r="J2" s="779">
        <v>2018</v>
      </c>
      <c r="K2" s="46" t="s">
        <v>76</v>
      </c>
    </row>
    <row r="3" spans="1:40" ht="15.75">
      <c r="A3" s="27" t="s">
        <v>26</v>
      </c>
      <c r="B3" s="331"/>
      <c r="C3" s="331"/>
      <c r="D3" s="16"/>
      <c r="E3" s="16"/>
      <c r="F3" s="16"/>
      <c r="G3" s="16"/>
      <c r="H3" s="16"/>
      <c r="I3" s="16"/>
      <c r="J3" s="16"/>
      <c r="L3" s="27" t="s">
        <v>26</v>
      </c>
    </row>
    <row r="4" spans="1:40">
      <c r="A4" s="39" t="s">
        <v>21</v>
      </c>
      <c r="B4" s="330">
        <v>5310584</v>
      </c>
      <c r="C4" s="330">
        <v>5344861</v>
      </c>
      <c r="D4" s="16">
        <v>5379139</v>
      </c>
      <c r="E4" s="16">
        <v>5420380</v>
      </c>
      <c r="F4" s="16">
        <v>5457173</v>
      </c>
      <c r="G4" s="16">
        <v>5489594</v>
      </c>
      <c r="H4" s="16">
        <v>5519952</v>
      </c>
      <c r="I4" s="16">
        <v>5576606</v>
      </c>
      <c r="J4" s="5">
        <v>5611179</v>
      </c>
      <c r="K4" t="s">
        <v>294</v>
      </c>
      <c r="L4" s="39" t="s">
        <v>21</v>
      </c>
      <c r="M4" s="5"/>
    </row>
    <row r="5" spans="1:40">
      <c r="A5" s="39" t="s">
        <v>22</v>
      </c>
      <c r="B5" s="334">
        <v>2091548</v>
      </c>
      <c r="C5" s="334">
        <v>2096477</v>
      </c>
      <c r="D5" s="336">
        <v>2111943</v>
      </c>
      <c r="E5" s="336">
        <v>2119954</v>
      </c>
      <c r="F5" s="336">
        <v>2129195</v>
      </c>
      <c r="G5" s="336">
        <v>2147262</v>
      </c>
      <c r="H5" s="336">
        <v>2148725</v>
      </c>
      <c r="I5" s="336">
        <v>2162211</v>
      </c>
      <c r="J5" s="5">
        <v>2194452</v>
      </c>
      <c r="K5" t="s">
        <v>295</v>
      </c>
      <c r="L5" s="39" t="s">
        <v>22</v>
      </c>
      <c r="M5" s="5"/>
      <c r="N5" s="5"/>
    </row>
    <row r="6" spans="1:40">
      <c r="A6" s="39" t="s">
        <v>23</v>
      </c>
      <c r="B6" s="337"/>
      <c r="C6" s="337"/>
      <c r="D6" s="336"/>
      <c r="E6" s="336"/>
      <c r="F6" s="336"/>
      <c r="G6" s="336"/>
      <c r="H6" s="336"/>
      <c r="I6" s="336"/>
      <c r="J6" s="336"/>
      <c r="K6"/>
      <c r="L6" s="39" t="s">
        <v>23</v>
      </c>
      <c r="M6" s="5"/>
      <c r="O6" s="5"/>
      <c r="Q6" s="5"/>
    </row>
    <row r="7" spans="1:40">
      <c r="A7" s="50" t="s">
        <v>88</v>
      </c>
      <c r="B7" s="334">
        <v>12798051</v>
      </c>
      <c r="C7" s="334">
        <v>1277421</v>
      </c>
      <c r="D7" s="335">
        <v>1280235</v>
      </c>
      <c r="E7" s="336">
        <v>1279210</v>
      </c>
      <c r="F7" s="336">
        <v>1282436</v>
      </c>
      <c r="G7" s="336">
        <v>1284565</v>
      </c>
      <c r="H7" s="336">
        <v>1291669</v>
      </c>
      <c r="I7" s="336">
        <v>1297782</v>
      </c>
      <c r="J7" s="336">
        <v>1302047</v>
      </c>
      <c r="K7" t="s">
        <v>294</v>
      </c>
      <c r="L7" s="50" t="s">
        <v>88</v>
      </c>
      <c r="M7" s="5"/>
    </row>
    <row r="8" spans="1:40">
      <c r="A8" s="50" t="s">
        <v>89</v>
      </c>
      <c r="B8" s="334">
        <v>3345668</v>
      </c>
      <c r="C8" s="334">
        <v>3367262</v>
      </c>
      <c r="D8" s="335">
        <v>3367341</v>
      </c>
      <c r="E8" s="336">
        <v>3387737</v>
      </c>
      <c r="F8" s="336">
        <v>3394361</v>
      </c>
      <c r="G8" s="336">
        <v>3398059</v>
      </c>
      <c r="H8" s="336">
        <v>3400290</v>
      </c>
      <c r="I8" s="336">
        <v>3419920</v>
      </c>
      <c r="J8" s="336">
        <v>3420498</v>
      </c>
      <c r="K8" t="s">
        <v>294</v>
      </c>
      <c r="L8" s="50" t="s">
        <v>89</v>
      </c>
      <c r="M8" s="5"/>
    </row>
    <row r="9" spans="1:40">
      <c r="A9" s="50" t="s">
        <v>90</v>
      </c>
      <c r="B9" s="334">
        <v>685065</v>
      </c>
      <c r="C9" s="334">
        <v>700177</v>
      </c>
      <c r="D9" s="335">
        <v>731563</v>
      </c>
      <c r="E9" s="336">
        <v>753433</v>
      </c>
      <c r="F9" s="336">
        <v>780376</v>
      </c>
      <c r="G9" s="336">
        <v>806970</v>
      </c>
      <c r="H9" s="336">
        <v>827993</v>
      </c>
      <c r="I9" s="336">
        <v>858904</v>
      </c>
      <c r="J9" s="336">
        <v>888634</v>
      </c>
      <c r="K9" t="s">
        <v>294</v>
      </c>
      <c r="L9" s="50" t="s">
        <v>90</v>
      </c>
      <c r="M9" s="5"/>
    </row>
    <row r="10" spans="1:40">
      <c r="B10" s="11"/>
      <c r="C10" s="11"/>
      <c r="D10" s="16"/>
      <c r="E10" s="16"/>
      <c r="F10" s="16"/>
      <c r="G10" s="16"/>
      <c r="H10" s="16"/>
      <c r="I10" s="16"/>
      <c r="J10" s="16"/>
      <c r="M10" s="5"/>
    </row>
    <row r="11" spans="1:40" ht="15.75">
      <c r="A11" s="27" t="s">
        <v>29</v>
      </c>
      <c r="B11" s="331"/>
      <c r="C11" s="331"/>
      <c r="D11" s="16"/>
      <c r="E11" s="16"/>
      <c r="F11" s="16"/>
      <c r="G11" s="16"/>
      <c r="H11" s="16"/>
      <c r="I11" s="16"/>
      <c r="J11" s="16"/>
      <c r="L11" s="27" t="s">
        <v>29</v>
      </c>
      <c r="M11" s="5"/>
    </row>
    <row r="12" spans="1:40">
      <c r="A12" s="39" t="s">
        <v>21</v>
      </c>
      <c r="B12" s="330">
        <v>144509</v>
      </c>
      <c r="C12" s="330">
        <v>145769</v>
      </c>
      <c r="D12" s="81">
        <v>147066</v>
      </c>
      <c r="E12" s="16">
        <v>149226</v>
      </c>
      <c r="F12" s="16">
        <v>150287</v>
      </c>
      <c r="G12" s="16">
        <v>151436</v>
      </c>
      <c r="H12" s="16">
        <v>153102</v>
      </c>
      <c r="I12" s="16">
        <v>154930</v>
      </c>
      <c r="J12" s="5">
        <v>156277</v>
      </c>
      <c r="K12" t="s">
        <v>294</v>
      </c>
      <c r="L12" s="39" t="s">
        <v>21</v>
      </c>
      <c r="M12" s="5"/>
    </row>
    <row r="13" spans="1:40">
      <c r="A13" s="39" t="s">
        <v>22</v>
      </c>
      <c r="B13" s="330">
        <v>56779</v>
      </c>
      <c r="C13" s="330">
        <v>57518</v>
      </c>
      <c r="D13" s="11">
        <v>57099</v>
      </c>
      <c r="E13" s="11">
        <v>58203</v>
      </c>
      <c r="F13" s="11">
        <v>58607</v>
      </c>
      <c r="G13" s="11">
        <v>58101</v>
      </c>
      <c r="H13" s="11">
        <v>61357</v>
      </c>
      <c r="I13" s="11">
        <v>61873</v>
      </c>
      <c r="J13" s="11">
        <v>63462</v>
      </c>
      <c r="K13" t="s">
        <v>295</v>
      </c>
      <c r="L13" s="39" t="s">
        <v>22</v>
      </c>
      <c r="M13" s="5"/>
    </row>
    <row r="14" spans="1:40">
      <c r="A14" s="39" t="s">
        <v>23</v>
      </c>
      <c r="B14" s="80"/>
      <c r="C14" s="80"/>
      <c r="D14" s="16"/>
      <c r="E14" s="16"/>
      <c r="F14" s="16"/>
      <c r="G14" s="16"/>
      <c r="H14" s="16"/>
      <c r="I14" s="16"/>
      <c r="J14" s="16"/>
      <c r="K14"/>
      <c r="L14" s="39" t="s">
        <v>23</v>
      </c>
      <c r="M14" s="5"/>
    </row>
    <row r="15" spans="1:40">
      <c r="A15" s="50" t="s">
        <v>88</v>
      </c>
      <c r="B15" s="330">
        <v>36561</v>
      </c>
      <c r="C15" s="330">
        <v>36588</v>
      </c>
      <c r="D15" s="81">
        <v>36767</v>
      </c>
      <c r="E15" s="16">
        <v>37157</v>
      </c>
      <c r="F15" s="16">
        <v>36820</v>
      </c>
      <c r="G15" s="16">
        <v>37405</v>
      </c>
      <c r="H15" s="16">
        <v>37663</v>
      </c>
      <c r="I15" s="16">
        <v>37911</v>
      </c>
      <c r="J15" s="16">
        <v>38257</v>
      </c>
      <c r="K15" t="s">
        <v>294</v>
      </c>
      <c r="L15" s="50" t="s">
        <v>88</v>
      </c>
      <c r="M15" s="5"/>
    </row>
    <row r="16" spans="1:40">
      <c r="A16" s="50" t="s">
        <v>89</v>
      </c>
      <c r="B16" s="330">
        <v>89740</v>
      </c>
      <c r="C16" s="330">
        <v>90668</v>
      </c>
      <c r="D16" s="81">
        <v>90887</v>
      </c>
      <c r="E16" s="16">
        <v>92073</v>
      </c>
      <c r="F16" s="16">
        <v>92727</v>
      </c>
      <c r="G16" s="16">
        <v>92376</v>
      </c>
      <c r="H16" s="16">
        <v>92627</v>
      </c>
      <c r="I16" s="16">
        <v>93888</v>
      </c>
      <c r="J16" s="16">
        <v>93725</v>
      </c>
      <c r="K16" t="s">
        <v>294</v>
      </c>
      <c r="L16" s="50" t="s">
        <v>89</v>
      </c>
      <c r="M16" s="5"/>
    </row>
    <row r="17" spans="1:13">
      <c r="A17" s="50" t="s">
        <v>90</v>
      </c>
      <c r="B17" s="330">
        <v>18208</v>
      </c>
      <c r="C17" s="330">
        <v>18208</v>
      </c>
      <c r="D17" s="81">
        <v>19413</v>
      </c>
      <c r="E17" s="16">
        <v>19996</v>
      </c>
      <c r="F17" s="16">
        <v>20740</v>
      </c>
      <c r="G17" s="16">
        <v>21655</v>
      </c>
      <c r="H17" s="16">
        <v>22812</v>
      </c>
      <c r="I17" s="16">
        <v>23131</v>
      </c>
      <c r="J17" s="16">
        <v>24295</v>
      </c>
      <c r="K17" t="s">
        <v>294</v>
      </c>
      <c r="L17" s="50" t="s">
        <v>90</v>
      </c>
      <c r="M17" s="5"/>
    </row>
    <row r="18" spans="1:13">
      <c r="B18" s="11"/>
      <c r="C18" s="11"/>
      <c r="D18" s="16"/>
      <c r="E18" s="16"/>
      <c r="F18" s="16"/>
      <c r="G18" s="16"/>
      <c r="H18" s="16"/>
      <c r="I18" s="16"/>
      <c r="J18" s="16"/>
      <c r="M18" s="5"/>
    </row>
    <row r="19" spans="1:13" ht="15.75">
      <c r="A19" s="27" t="s">
        <v>27</v>
      </c>
      <c r="B19" s="331"/>
      <c r="C19" s="331"/>
      <c r="D19" s="16"/>
      <c r="E19" s="16"/>
      <c r="F19" s="16"/>
      <c r="G19" s="16"/>
      <c r="H19" s="16"/>
      <c r="I19" s="16"/>
      <c r="J19" s="16"/>
      <c r="L19" s="27" t="s">
        <v>27</v>
      </c>
      <c r="M19" s="5"/>
    </row>
    <row r="20" spans="1:13">
      <c r="A20" s="39" t="s">
        <v>21</v>
      </c>
      <c r="B20" s="330">
        <v>106963</v>
      </c>
      <c r="C20" s="330">
        <v>107887</v>
      </c>
      <c r="D20" s="11">
        <v>108994</v>
      </c>
      <c r="E20" s="11">
        <v>110731</v>
      </c>
      <c r="F20" s="11">
        <v>111398</v>
      </c>
      <c r="G20" s="11">
        <v>112216</v>
      </c>
      <c r="H20" s="11">
        <v>114008</v>
      </c>
      <c r="I20" s="11">
        <v>115733</v>
      </c>
      <c r="J20" s="5">
        <v>116957</v>
      </c>
      <c r="K20" t="s">
        <v>294</v>
      </c>
      <c r="L20" s="39" t="s">
        <v>21</v>
      </c>
      <c r="M20" s="5"/>
    </row>
    <row r="21" spans="1:13">
      <c r="A21" s="39" t="s">
        <v>22</v>
      </c>
      <c r="B21" s="330">
        <v>43057</v>
      </c>
      <c r="C21" s="330">
        <v>43428</v>
      </c>
      <c r="D21" s="11">
        <v>43101</v>
      </c>
      <c r="E21" s="11">
        <v>43712</v>
      </c>
      <c r="F21" s="11">
        <v>44661</v>
      </c>
      <c r="G21" s="11">
        <v>43018</v>
      </c>
      <c r="H21" s="11">
        <v>46478</v>
      </c>
      <c r="I21" s="11">
        <v>46645</v>
      </c>
      <c r="J21" s="11">
        <v>49361</v>
      </c>
      <c r="K21" t="s">
        <v>295</v>
      </c>
      <c r="L21" s="39" t="s">
        <v>22</v>
      </c>
      <c r="M21" s="5"/>
    </row>
    <row r="22" spans="1:13">
      <c r="A22" s="39" t="s">
        <v>23</v>
      </c>
      <c r="B22" s="80"/>
      <c r="C22" s="80"/>
      <c r="D22" s="16"/>
      <c r="E22" s="16"/>
      <c r="F22" s="16"/>
      <c r="G22" s="16"/>
      <c r="H22" s="16"/>
      <c r="I22" s="16"/>
      <c r="J22" s="16"/>
      <c r="L22" s="39" t="s">
        <v>23</v>
      </c>
      <c r="M22" s="5"/>
    </row>
    <row r="23" spans="1:13">
      <c r="A23" s="50" t="s">
        <v>88</v>
      </c>
      <c r="B23" s="330">
        <v>26848</v>
      </c>
      <c r="C23" s="330">
        <v>27080</v>
      </c>
      <c r="D23" s="81">
        <v>26050</v>
      </c>
      <c r="E23" s="16">
        <v>27351</v>
      </c>
      <c r="F23" s="16">
        <v>25956</v>
      </c>
      <c r="G23" s="16">
        <v>27830</v>
      </c>
      <c r="H23" s="16">
        <v>27248</v>
      </c>
      <c r="I23" s="16">
        <v>27892</v>
      </c>
      <c r="J23" s="16">
        <v>26935</v>
      </c>
      <c r="K23" t="s">
        <v>294</v>
      </c>
      <c r="L23" s="50" t="s">
        <v>88</v>
      </c>
      <c r="M23" s="5"/>
    </row>
    <row r="24" spans="1:13">
      <c r="A24" s="98" t="s">
        <v>200</v>
      </c>
      <c r="B24" s="30">
        <f>B20*0.015</f>
        <v>1604.4449999999999</v>
      </c>
      <c r="C24" s="30">
        <f>C20*0.014</f>
        <v>1510.4180000000001</v>
      </c>
      <c r="D24" s="20">
        <f>D20*0.013</f>
        <v>1416.922</v>
      </c>
      <c r="E24" s="20">
        <f>E20*0.011</f>
        <v>1218.0409999999999</v>
      </c>
      <c r="F24" s="20">
        <f>F20*0.01</f>
        <v>1113.98</v>
      </c>
      <c r="G24" s="20">
        <f>G20*0.012</f>
        <v>1346.5920000000001</v>
      </c>
      <c r="H24" s="20">
        <f>H20*0.011</f>
        <v>1254.088</v>
      </c>
      <c r="I24" s="20">
        <v>1052</v>
      </c>
      <c r="J24" s="20"/>
      <c r="K24" t="s">
        <v>294</v>
      </c>
      <c r="L24" s="98" t="s">
        <v>200</v>
      </c>
      <c r="M24" s="5"/>
    </row>
    <row r="25" spans="1:13">
      <c r="A25" s="50" t="s">
        <v>89</v>
      </c>
      <c r="B25" s="330">
        <v>66210</v>
      </c>
      <c r="C25" s="330">
        <v>66566</v>
      </c>
      <c r="D25" s="81">
        <v>68448</v>
      </c>
      <c r="E25" s="16">
        <v>68653</v>
      </c>
      <c r="F25" s="16">
        <v>69290</v>
      </c>
      <c r="G25" s="16">
        <v>68115</v>
      </c>
      <c r="H25" s="16">
        <v>70343</v>
      </c>
      <c r="I25" s="16">
        <v>70697</v>
      </c>
      <c r="J25" s="16">
        <v>71985</v>
      </c>
      <c r="K25" t="s">
        <v>294</v>
      </c>
      <c r="L25" s="50" t="s">
        <v>89</v>
      </c>
      <c r="M25" s="5"/>
    </row>
    <row r="26" spans="1:13">
      <c r="A26" s="98" t="s">
        <v>201</v>
      </c>
      <c r="B26" s="30">
        <f>B25*0.02</f>
        <v>1324.2</v>
      </c>
      <c r="C26" s="30">
        <f>C20*0.027</f>
        <v>2912.9490000000001</v>
      </c>
      <c r="D26" s="17">
        <f>D20*0.026</f>
        <v>2833.8440000000001</v>
      </c>
      <c r="E26" s="17">
        <f>E20*0.026</f>
        <v>2879.0059999999999</v>
      </c>
      <c r="F26" s="17">
        <f>F20*0.024</f>
        <v>2673.5520000000001</v>
      </c>
      <c r="G26" s="17">
        <f>G20*0.024</f>
        <v>2693.1840000000002</v>
      </c>
      <c r="H26" s="20">
        <f>H20*0.023</f>
        <v>2622.1839999999997</v>
      </c>
      <c r="I26" s="20">
        <v>2843</v>
      </c>
      <c r="J26" s="20"/>
      <c r="K26" t="s">
        <v>294</v>
      </c>
      <c r="L26" s="98" t="s">
        <v>201</v>
      </c>
      <c r="M26" s="5"/>
    </row>
    <row r="27" spans="1:13">
      <c r="A27" s="50" t="s">
        <v>90</v>
      </c>
      <c r="B27" s="330">
        <v>13905</v>
      </c>
      <c r="C27" s="330">
        <v>14241</v>
      </c>
      <c r="D27" s="81">
        <v>14496</v>
      </c>
      <c r="E27" s="16">
        <v>14727</v>
      </c>
      <c r="F27" s="16">
        <v>16153</v>
      </c>
      <c r="G27" s="16">
        <v>16271</v>
      </c>
      <c r="H27" s="16">
        <v>16417</v>
      </c>
      <c r="I27" s="16">
        <v>17144</v>
      </c>
      <c r="J27" s="16">
        <v>18037</v>
      </c>
      <c r="K27" t="s">
        <v>294</v>
      </c>
      <c r="L27" s="50" t="s">
        <v>90</v>
      </c>
      <c r="M27" s="5"/>
    </row>
    <row r="28" spans="1:13">
      <c r="A28" s="98" t="s">
        <v>202</v>
      </c>
      <c r="B28" s="30">
        <f>B20*0.008</f>
        <v>855.70400000000006</v>
      </c>
      <c r="C28" s="30">
        <f>C20*0.008</f>
        <v>863.096</v>
      </c>
      <c r="D28" s="20">
        <f>D20*0.008</f>
        <v>871.952</v>
      </c>
      <c r="E28" s="20">
        <f>E20*0.007</f>
        <v>775.11699999999996</v>
      </c>
      <c r="F28" s="20">
        <f>F20*0.007</f>
        <v>779.78600000000006</v>
      </c>
      <c r="G28" s="20">
        <f>G20*0.008</f>
        <v>897.72800000000007</v>
      </c>
      <c r="H28" s="20">
        <f>H20*0.008</f>
        <v>912.06399999999996</v>
      </c>
      <c r="I28" s="20">
        <v>920</v>
      </c>
      <c r="J28" s="20"/>
      <c r="K28" t="s">
        <v>294</v>
      </c>
      <c r="L28" s="98" t="s">
        <v>202</v>
      </c>
      <c r="M28" s="5"/>
    </row>
    <row r="29" spans="1:13">
      <c r="A29" s="43"/>
      <c r="B29" s="332"/>
      <c r="C29" s="332"/>
      <c r="D29" s="16"/>
      <c r="E29" s="16"/>
      <c r="F29" s="16"/>
      <c r="G29" s="16"/>
      <c r="H29" s="16"/>
      <c r="I29" s="16"/>
      <c r="J29" s="16"/>
      <c r="L29" s="43"/>
      <c r="M29" s="5"/>
    </row>
    <row r="30" spans="1:13">
      <c r="A30" s="50" t="s">
        <v>440</v>
      </c>
      <c r="B30" s="592">
        <v>2.4300000000000002</v>
      </c>
      <c r="C30" s="593">
        <v>2.42</v>
      </c>
      <c r="D30" s="593">
        <v>2.46</v>
      </c>
      <c r="E30" s="593">
        <v>2.4700000000000002</v>
      </c>
      <c r="F30" s="593">
        <v>2.4300000000000002</v>
      </c>
      <c r="G30" s="593">
        <v>2.5499999999999998</v>
      </c>
      <c r="H30" s="593">
        <v>2.4</v>
      </c>
      <c r="I30" s="593">
        <v>2.4300000000000002</v>
      </c>
      <c r="J30"/>
      <c r="K30" t="s">
        <v>294</v>
      </c>
      <c r="L30" s="50" t="s">
        <v>440</v>
      </c>
      <c r="M30" s="5"/>
    </row>
    <row r="31" spans="1:13">
      <c r="A31" s="98" t="s">
        <v>441</v>
      </c>
      <c r="B31" s="594">
        <v>0.06</v>
      </c>
      <c r="C31" s="595">
        <v>0.06</v>
      </c>
      <c r="D31" s="595">
        <v>0.06</v>
      </c>
      <c r="E31" s="595">
        <v>7.0000000000000007E-2</v>
      </c>
      <c r="F31" s="595">
        <v>0.05</v>
      </c>
      <c r="G31" s="595">
        <v>7.0000000000000007E-2</v>
      </c>
      <c r="H31" s="595">
        <v>0.06</v>
      </c>
      <c r="I31" s="596">
        <v>7.0000000000000007E-2</v>
      </c>
      <c r="J31"/>
      <c r="K31"/>
      <c r="L31" s="98" t="s">
        <v>441</v>
      </c>
      <c r="M31" s="5"/>
    </row>
    <row r="32" spans="1:13">
      <c r="B32" s="11"/>
      <c r="C32" s="11"/>
      <c r="D32" s="16"/>
      <c r="E32" s="16"/>
      <c r="F32" s="16"/>
      <c r="G32" s="16"/>
      <c r="H32" s="16"/>
      <c r="I32" s="16"/>
      <c r="J32" s="16"/>
      <c r="M32" s="5"/>
    </row>
    <row r="33" spans="1:13">
      <c r="A33" s="892" t="s">
        <v>204</v>
      </c>
      <c r="B33" s="892"/>
      <c r="C33" s="892"/>
      <c r="D33" s="892"/>
      <c r="E33" s="892"/>
      <c r="F33" s="892"/>
      <c r="G33" s="892"/>
      <c r="H33" s="892"/>
      <c r="I33" s="892"/>
      <c r="J33" s="892"/>
      <c r="K33" s="892"/>
    </row>
    <row r="34" spans="1:13">
      <c r="A34" s="892"/>
      <c r="B34" s="892"/>
      <c r="C34" s="892"/>
      <c r="D34" s="892"/>
      <c r="E34" s="892"/>
      <c r="F34" s="892"/>
      <c r="G34" s="892"/>
      <c r="H34" s="892"/>
      <c r="I34" s="892"/>
      <c r="J34" s="892"/>
      <c r="K34" s="892"/>
      <c r="M34" s="5"/>
    </row>
    <row r="35" spans="1:13">
      <c r="A35" s="892"/>
      <c r="B35" s="892"/>
      <c r="C35" s="892"/>
      <c r="D35" s="892"/>
      <c r="E35" s="892"/>
      <c r="F35" s="892"/>
      <c r="G35" s="892"/>
      <c r="H35" s="892"/>
      <c r="I35" s="892"/>
      <c r="J35" s="892"/>
      <c r="K35" s="892"/>
    </row>
    <row r="36" spans="1:13">
      <c r="F36" s="16"/>
      <c r="G36" s="16"/>
      <c r="H36" s="16"/>
      <c r="I36" s="16"/>
      <c r="J36" s="16"/>
      <c r="M36" s="5"/>
    </row>
    <row r="37" spans="1:13">
      <c r="F37" s="16"/>
      <c r="G37" s="16"/>
      <c r="H37" s="16"/>
      <c r="I37" s="16"/>
      <c r="J37" s="16"/>
      <c r="M37" s="5"/>
    </row>
    <row r="38" spans="1:13">
      <c r="F38" s="16"/>
      <c r="G38" s="16"/>
      <c r="H38" s="16"/>
      <c r="I38" s="16"/>
      <c r="J38" s="16"/>
      <c r="M38" s="5"/>
    </row>
    <row r="39" spans="1:13">
      <c r="F39" s="16"/>
      <c r="G39" s="16"/>
      <c r="H39" s="16"/>
      <c r="I39" s="16"/>
      <c r="J39" s="16"/>
      <c r="M39" s="5"/>
    </row>
    <row r="40" spans="1:13">
      <c r="F40" s="16"/>
      <c r="G40" s="16"/>
      <c r="H40" s="16"/>
      <c r="I40" s="16"/>
      <c r="J40" s="16"/>
      <c r="M40" s="5"/>
    </row>
    <row r="41" spans="1:13">
      <c r="F41" s="16"/>
      <c r="G41" s="16"/>
      <c r="H41" s="16"/>
      <c r="I41" s="16"/>
      <c r="J41" s="16"/>
      <c r="M41" s="5"/>
    </row>
    <row r="42" spans="1:13">
      <c r="F42" s="16"/>
      <c r="G42" s="16"/>
      <c r="H42" s="16"/>
      <c r="I42" s="16"/>
      <c r="J42" s="16"/>
      <c r="M42" s="5"/>
    </row>
    <row r="43" spans="1:13">
      <c r="F43" s="16"/>
      <c r="G43" s="16"/>
      <c r="H43" s="16"/>
      <c r="I43" s="16"/>
      <c r="J43" s="16"/>
      <c r="M43" s="5"/>
    </row>
    <row r="44" spans="1:13">
      <c r="F44" s="16"/>
      <c r="G44" s="16"/>
      <c r="H44" s="16"/>
      <c r="I44" s="16"/>
      <c r="J44" s="16"/>
      <c r="M44" s="5"/>
    </row>
    <row r="45" spans="1:13">
      <c r="F45" s="16"/>
      <c r="G45" s="16"/>
      <c r="H45" s="16"/>
      <c r="I45" s="16"/>
      <c r="J45" s="16"/>
      <c r="M45" s="5"/>
    </row>
    <row r="46" spans="1:13">
      <c r="F46" s="16"/>
      <c r="G46" s="16"/>
      <c r="H46" s="16"/>
      <c r="I46" s="16"/>
      <c r="J46" s="16"/>
      <c r="M46" s="5"/>
    </row>
    <row r="47" spans="1:13">
      <c r="F47" s="16"/>
      <c r="G47" s="16"/>
      <c r="H47" s="16"/>
      <c r="I47" s="16"/>
      <c r="J47" s="16"/>
    </row>
    <row r="48" spans="1:13">
      <c r="F48" s="16"/>
      <c r="G48" s="16"/>
      <c r="H48" s="16"/>
      <c r="I48" s="16"/>
      <c r="J48" s="16"/>
    </row>
    <row r="49" spans="6:10">
      <c r="F49" s="16"/>
      <c r="G49" s="16"/>
      <c r="H49" s="16"/>
      <c r="I49" s="16"/>
      <c r="J49" s="16"/>
    </row>
    <row r="50" spans="6:10">
      <c r="F50" s="16"/>
      <c r="G50" s="16"/>
      <c r="H50" s="16"/>
      <c r="I50" s="16"/>
      <c r="J50" s="16"/>
    </row>
    <row r="51" spans="6:10">
      <c r="F51" s="16"/>
      <c r="G51" s="16"/>
      <c r="H51" s="16"/>
      <c r="I51" s="16"/>
      <c r="J51" s="16"/>
    </row>
    <row r="52" spans="6:10">
      <c r="F52" s="16"/>
      <c r="G52" s="16"/>
      <c r="H52" s="16"/>
      <c r="I52" s="16"/>
      <c r="J52" s="16"/>
    </row>
  </sheetData>
  <mergeCells count="1">
    <mergeCell ref="A33:K3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D86"/>
  <sheetViews>
    <sheetView topLeftCell="B4" zoomScaleNormal="100" workbookViewId="0">
      <pane xSplit="1" topLeftCell="O1" activePane="topRight" state="frozen"/>
      <selection activeCell="B1" sqref="B1"/>
      <selection pane="topRight" activeCell="AA26" sqref="AA26"/>
    </sheetView>
  </sheetViews>
  <sheetFormatPr defaultColWidth="8.85546875" defaultRowHeight="15"/>
  <cols>
    <col min="1" max="1" width="4.7109375" hidden="1" customWidth="1"/>
    <col min="2" max="2" width="25.140625" customWidth="1"/>
    <col min="3" max="4" width="10.85546875" customWidth="1"/>
    <col min="5" max="5" width="10.85546875" style="403" customWidth="1"/>
    <col min="6" max="6" width="10.85546875" style="11" customWidth="1"/>
    <col min="7" max="7" width="10.85546875" customWidth="1"/>
    <col min="8" max="8" width="10.85546875" style="403" customWidth="1"/>
    <col min="9" max="10" width="10.85546875" customWidth="1"/>
    <col min="11" max="11" width="10.85546875" style="403" customWidth="1"/>
    <col min="12" max="13" width="10.85546875" customWidth="1"/>
    <col min="14" max="14" width="10.85546875" style="403" customWidth="1"/>
    <col min="15" max="16" width="10.85546875" customWidth="1"/>
    <col min="17" max="17" width="10.85546875" style="403" customWidth="1"/>
    <col min="18" max="18" width="10.85546875" customWidth="1"/>
    <col min="19" max="19" width="10.85546875" style="19" customWidth="1"/>
    <col min="20" max="20" width="10.85546875" style="403" customWidth="1"/>
    <col min="21" max="21" width="10.85546875" style="11" customWidth="1"/>
    <col min="22" max="22" width="10.85546875" customWidth="1"/>
    <col min="23" max="23" width="10.85546875" style="403" customWidth="1"/>
    <col min="24" max="24" width="10.85546875" style="10" customWidth="1"/>
    <col min="25" max="25" width="10.85546875" style="19" customWidth="1"/>
    <col min="26" max="26" width="10.85546875" style="403" customWidth="1"/>
    <col min="27" max="27" width="10.85546875" style="11" customWidth="1"/>
    <col min="28" max="28" width="10.85546875" customWidth="1"/>
    <col min="29" max="29" width="10.85546875" style="403" customWidth="1"/>
  </cols>
  <sheetData>
    <row r="1" spans="1:30" ht="18.75">
      <c r="A1" s="23" t="s">
        <v>113</v>
      </c>
      <c r="B1" s="23" t="s">
        <v>113</v>
      </c>
      <c r="X1"/>
      <c r="AD1" s="10"/>
    </row>
    <row r="2" spans="1:30" ht="16.350000000000001" customHeight="1" thickBot="1">
      <c r="A2" s="23"/>
      <c r="X2"/>
      <c r="AD2" s="10"/>
    </row>
    <row r="3" spans="1:30" s="338" customFormat="1" ht="18" customHeight="1" thickBot="1">
      <c r="A3" s="53"/>
      <c r="C3" s="895">
        <v>2010</v>
      </c>
      <c r="D3" s="893"/>
      <c r="E3" s="894"/>
      <c r="F3" s="870">
        <v>2011</v>
      </c>
      <c r="G3" s="871"/>
      <c r="H3" s="872"/>
      <c r="I3" s="895">
        <v>2012</v>
      </c>
      <c r="J3" s="893">
        <v>2012</v>
      </c>
      <c r="K3" s="894">
        <v>2012</v>
      </c>
      <c r="L3" s="871">
        <v>2013</v>
      </c>
      <c r="M3" s="871">
        <v>2013</v>
      </c>
      <c r="N3" s="871">
        <v>2013</v>
      </c>
      <c r="O3" s="895">
        <v>2014</v>
      </c>
      <c r="P3" s="893"/>
      <c r="Q3" s="894"/>
      <c r="R3" s="870">
        <v>2015</v>
      </c>
      <c r="S3" s="871"/>
      <c r="T3" s="872"/>
      <c r="U3" s="893">
        <v>2016</v>
      </c>
      <c r="V3" s="893"/>
      <c r="W3" s="894"/>
      <c r="X3" s="870">
        <v>2017</v>
      </c>
      <c r="Y3" s="871"/>
      <c r="Z3" s="872"/>
      <c r="AA3" s="893">
        <v>2018</v>
      </c>
      <c r="AB3" s="893"/>
      <c r="AC3" s="894"/>
      <c r="AD3" s="339" t="s">
        <v>76</v>
      </c>
    </row>
    <row r="4" spans="1:30" ht="16.5" thickBot="1">
      <c r="B4" s="27" t="s">
        <v>26</v>
      </c>
      <c r="C4" s="27"/>
      <c r="D4" s="27"/>
      <c r="E4" s="410"/>
      <c r="F4" s="331"/>
      <c r="G4" s="27"/>
      <c r="H4" s="410"/>
      <c r="I4" s="39"/>
      <c r="J4" s="39"/>
      <c r="K4" s="404"/>
      <c r="L4" s="39"/>
      <c r="M4" s="39"/>
      <c r="N4" s="404"/>
      <c r="O4" s="39"/>
      <c r="P4" s="39"/>
      <c r="Q4" s="404"/>
      <c r="R4" s="39"/>
      <c r="S4" s="15"/>
      <c r="T4" s="404"/>
      <c r="U4" s="16"/>
      <c r="V4" s="39"/>
      <c r="W4" s="404"/>
      <c r="X4" s="39"/>
      <c r="Y4" s="15"/>
      <c r="Z4" s="404"/>
      <c r="AA4" s="16"/>
      <c r="AB4" s="39"/>
      <c r="AC4" s="404"/>
      <c r="AD4" s="10"/>
    </row>
    <row r="5" spans="1:30" ht="45.75" thickBot="1">
      <c r="A5" t="s">
        <v>24</v>
      </c>
      <c r="B5" t="s">
        <v>25</v>
      </c>
      <c r="C5" s="395" t="s">
        <v>103</v>
      </c>
      <c r="D5" s="396" t="s">
        <v>158</v>
      </c>
      <c r="E5" s="416" t="s">
        <v>122</v>
      </c>
      <c r="F5" s="397" t="s">
        <v>103</v>
      </c>
      <c r="G5" s="398" t="s">
        <v>158</v>
      </c>
      <c r="H5" s="411" t="s">
        <v>122</v>
      </c>
      <c r="I5" s="399" t="s">
        <v>103</v>
      </c>
      <c r="J5" s="396" t="s">
        <v>158</v>
      </c>
      <c r="K5" s="405" t="s">
        <v>122</v>
      </c>
      <c r="L5" s="400" t="s">
        <v>103</v>
      </c>
      <c r="M5" s="398" t="s">
        <v>158</v>
      </c>
      <c r="N5" s="420" t="s">
        <v>122</v>
      </c>
      <c r="O5" s="395" t="s">
        <v>103</v>
      </c>
      <c r="P5" s="396" t="s">
        <v>158</v>
      </c>
      <c r="Q5" s="405" t="s">
        <v>122</v>
      </c>
      <c r="R5" s="401" t="s">
        <v>103</v>
      </c>
      <c r="S5" s="398" t="s">
        <v>158</v>
      </c>
      <c r="T5" s="411" t="s">
        <v>122</v>
      </c>
      <c r="U5" s="402" t="s">
        <v>103</v>
      </c>
      <c r="V5" s="396" t="s">
        <v>158</v>
      </c>
      <c r="W5" s="405" t="s">
        <v>122</v>
      </c>
      <c r="X5" s="401" t="s">
        <v>103</v>
      </c>
      <c r="Y5" s="398" t="s">
        <v>158</v>
      </c>
      <c r="Z5" s="411" t="s">
        <v>122</v>
      </c>
      <c r="AA5" s="402" t="s">
        <v>103</v>
      </c>
      <c r="AB5" s="396" t="s">
        <v>158</v>
      </c>
      <c r="AC5" s="405" t="s">
        <v>122</v>
      </c>
      <c r="AD5" s="10"/>
    </row>
    <row r="6" spans="1:30">
      <c r="B6" s="39" t="s">
        <v>129</v>
      </c>
      <c r="C6" s="377">
        <v>5310584</v>
      </c>
      <c r="D6" s="378" t="s">
        <v>296</v>
      </c>
      <c r="E6" s="417">
        <f>C6/C6</f>
        <v>1</v>
      </c>
      <c r="F6" s="375">
        <v>5344861</v>
      </c>
      <c r="G6" s="370" t="s">
        <v>296</v>
      </c>
      <c r="H6" s="412">
        <f>F6/F6</f>
        <v>1</v>
      </c>
      <c r="I6" s="379">
        <v>5379139</v>
      </c>
      <c r="J6" s="378" t="s">
        <v>296</v>
      </c>
      <c r="K6" s="406">
        <f>I6/I6</f>
        <v>1</v>
      </c>
      <c r="L6" s="380">
        <v>5420380</v>
      </c>
      <c r="M6" s="370" t="s">
        <v>296</v>
      </c>
      <c r="N6" s="421">
        <f>L6/L6</f>
        <v>1</v>
      </c>
      <c r="O6" s="377">
        <v>5457173</v>
      </c>
      <c r="P6" s="378" t="s">
        <v>296</v>
      </c>
      <c r="Q6" s="406">
        <f>O6/O6</f>
        <v>1</v>
      </c>
      <c r="R6" s="381">
        <v>5489594</v>
      </c>
      <c r="S6" s="370" t="s">
        <v>296</v>
      </c>
      <c r="T6" s="412">
        <f>R6/R6</f>
        <v>1</v>
      </c>
      <c r="U6" s="382">
        <v>5519952</v>
      </c>
      <c r="V6" s="378" t="s">
        <v>296</v>
      </c>
      <c r="W6" s="406">
        <f>U6/U6</f>
        <v>1</v>
      </c>
      <c r="X6" s="381">
        <v>5576606</v>
      </c>
      <c r="Y6" s="370" t="s">
        <v>296</v>
      </c>
      <c r="Z6" s="412">
        <f>X6/X6</f>
        <v>1</v>
      </c>
      <c r="AA6" s="386">
        <v>5611179</v>
      </c>
      <c r="AB6" s="819" t="s">
        <v>296</v>
      </c>
      <c r="AC6" s="406">
        <f>AA6/AA6</f>
        <v>1</v>
      </c>
      <c r="AD6" s="10" t="s">
        <v>298</v>
      </c>
    </row>
    <row r="7" spans="1:30">
      <c r="B7" s="39" t="s">
        <v>91</v>
      </c>
      <c r="C7" s="340">
        <v>4411174</v>
      </c>
      <c r="D7" s="341">
        <v>1354</v>
      </c>
      <c r="E7" s="418">
        <f>C7/C6</f>
        <v>0.83063821229454238</v>
      </c>
      <c r="F7" s="358">
        <v>4421685</v>
      </c>
      <c r="G7" s="357">
        <v>1434</v>
      </c>
      <c r="H7" s="413">
        <f>F7/F6</f>
        <v>0.82727782817925477</v>
      </c>
      <c r="I7" s="344">
        <v>4424944</v>
      </c>
      <c r="J7" s="341">
        <v>1553</v>
      </c>
      <c r="K7" s="407">
        <f>I7/I6</f>
        <v>0.82261194588948161</v>
      </c>
      <c r="L7" s="353">
        <v>4438070</v>
      </c>
      <c r="M7" s="357">
        <v>2394</v>
      </c>
      <c r="N7" s="422">
        <f>L7/L6</f>
        <v>0.81877469845287598</v>
      </c>
      <c r="O7" s="340">
        <v>4437012</v>
      </c>
      <c r="P7" s="341">
        <v>2786</v>
      </c>
      <c r="Q7" s="407">
        <f>O7/O6</f>
        <v>0.81306053518919041</v>
      </c>
      <c r="R7" s="349">
        <v>4441640</v>
      </c>
      <c r="S7" s="357">
        <v>2113</v>
      </c>
      <c r="T7" s="413">
        <f>R7/R6</f>
        <v>0.80910172956324278</v>
      </c>
      <c r="U7" s="346">
        <v>4444184</v>
      </c>
      <c r="V7" s="341">
        <v>2188</v>
      </c>
      <c r="W7" s="407">
        <f>U7/U6</f>
        <v>0.80511279808230218</v>
      </c>
      <c r="X7" s="349">
        <v>4455056</v>
      </c>
      <c r="Y7" s="357">
        <v>1687</v>
      </c>
      <c r="Z7" s="413">
        <f>X7/X6</f>
        <v>0.79888304821965184</v>
      </c>
      <c r="AA7" s="342">
        <v>4455388</v>
      </c>
      <c r="AB7" s="441">
        <v>2053</v>
      </c>
      <c r="AC7" s="407">
        <f>AA7/AA6</f>
        <v>0.79401993769936763</v>
      </c>
      <c r="AD7" s="10" t="s">
        <v>298</v>
      </c>
    </row>
    <row r="8" spans="1:30">
      <c r="B8" s="39" t="s">
        <v>104</v>
      </c>
      <c r="C8" s="340">
        <v>53856</v>
      </c>
      <c r="D8" s="341">
        <v>2827</v>
      </c>
      <c r="E8" s="418">
        <f>C8/C6</f>
        <v>1.0141257534011325E-2</v>
      </c>
      <c r="F8" s="358">
        <v>54850</v>
      </c>
      <c r="G8" s="357">
        <v>2645</v>
      </c>
      <c r="H8" s="413">
        <f>F8/F6</f>
        <v>1.026219390925227E-2</v>
      </c>
      <c r="I8" s="344">
        <v>53113</v>
      </c>
      <c r="J8" s="341">
        <v>1957</v>
      </c>
      <c r="K8" s="407">
        <f>I8/I6</f>
        <v>9.8738850213760977E-3</v>
      </c>
      <c r="L8" s="353">
        <v>54461</v>
      </c>
      <c r="M8" s="357">
        <v>2922</v>
      </c>
      <c r="N8" s="422">
        <f>L8/L6</f>
        <v>1.0047450547747574E-2</v>
      </c>
      <c r="O8" s="340">
        <v>52047</v>
      </c>
      <c r="P8" s="341">
        <v>2563</v>
      </c>
      <c r="Q8" s="407">
        <f>O8/O6</f>
        <v>9.5373556968049202E-3</v>
      </c>
      <c r="R8" s="349">
        <v>50234</v>
      </c>
      <c r="S8" s="357">
        <v>2386</v>
      </c>
      <c r="T8" s="413">
        <f>R8/R6</f>
        <v>9.1507677981286055E-3</v>
      </c>
      <c r="U8" s="346">
        <v>57795</v>
      </c>
      <c r="V8" s="341">
        <v>2495</v>
      </c>
      <c r="W8" s="407">
        <f>U8/U6</f>
        <v>1.0470199740867311E-2</v>
      </c>
      <c r="X8" s="349">
        <v>53674</v>
      </c>
      <c r="Y8" s="357">
        <v>2746</v>
      </c>
      <c r="Z8" s="413">
        <f>X8/X6</f>
        <v>9.6248506708202092E-3</v>
      </c>
      <c r="AA8" s="342">
        <v>60983</v>
      </c>
      <c r="AB8" s="441">
        <v>3622</v>
      </c>
      <c r="AC8" s="407">
        <f>AA8/AA6</f>
        <v>1.0868125932179316E-2</v>
      </c>
      <c r="AD8" s="10" t="s">
        <v>298</v>
      </c>
    </row>
    <row r="9" spans="1:30" ht="15" customHeight="1">
      <c r="B9" s="39" t="s">
        <v>92</v>
      </c>
      <c r="C9" s="340">
        <v>208480</v>
      </c>
      <c r="D9" s="341">
        <v>3790</v>
      </c>
      <c r="E9" s="418">
        <f>C9/C6</f>
        <v>3.9257452664339741E-2</v>
      </c>
      <c r="F9" s="358">
        <v>215328</v>
      </c>
      <c r="G9" s="357">
        <v>3739</v>
      </c>
      <c r="H9" s="413">
        <f>F9/F6</f>
        <v>4.0286922335304884E-2</v>
      </c>
      <c r="I9" s="344">
        <v>225697</v>
      </c>
      <c r="J9" s="341">
        <v>3451</v>
      </c>
      <c r="K9" s="407">
        <f>I9/I6</f>
        <v>4.1957830054214995E-2</v>
      </c>
      <c r="L9" s="353">
        <v>232661</v>
      </c>
      <c r="M9" s="357">
        <v>3545</v>
      </c>
      <c r="N9" s="422">
        <f>L9/L6</f>
        <v>4.2923374375966258E-2</v>
      </c>
      <c r="O9" s="340">
        <v>249211</v>
      </c>
      <c r="P9" s="341">
        <v>3682</v>
      </c>
      <c r="Q9" s="407">
        <f>O9/O6</f>
        <v>4.5666684930091093E-2</v>
      </c>
      <c r="R9" s="349">
        <v>257059</v>
      </c>
      <c r="S9" s="357">
        <v>4600</v>
      </c>
      <c r="T9" s="413">
        <f>R9/R6</f>
        <v>4.6826595919479658E-2</v>
      </c>
      <c r="U9" s="346">
        <v>257673</v>
      </c>
      <c r="V9" s="341">
        <v>4440</v>
      </c>
      <c r="W9" s="407">
        <f>U9/U6</f>
        <v>4.6680297219975825E-2</v>
      </c>
      <c r="X9" s="349">
        <v>272228</v>
      </c>
      <c r="Y9" s="357">
        <v>4049</v>
      </c>
      <c r="Z9" s="413">
        <f>X9/X6</f>
        <v>4.8816071997914143E-2</v>
      </c>
      <c r="AA9" s="342">
        <v>273126</v>
      </c>
      <c r="AB9" s="441">
        <v>4461</v>
      </c>
      <c r="AC9" s="407">
        <f>AA9/AA6</f>
        <v>4.8675331868756992E-2</v>
      </c>
      <c r="AD9" s="10" t="s">
        <v>298</v>
      </c>
    </row>
    <row r="10" spans="1:30">
      <c r="B10" s="39" t="s">
        <v>93</v>
      </c>
      <c r="C10" s="340">
        <v>268406</v>
      </c>
      <c r="D10" s="341">
        <v>6121</v>
      </c>
      <c r="E10" s="418">
        <f>C10/C6</f>
        <v>5.0541710666849447E-2</v>
      </c>
      <c r="F10" s="358">
        <v>273387</v>
      </c>
      <c r="G10" s="357">
        <v>6201</v>
      </c>
      <c r="H10" s="413">
        <f>F10/F6</f>
        <v>5.1149506039539661E-2</v>
      </c>
      <c r="I10" s="344">
        <v>282628</v>
      </c>
      <c r="J10" s="341">
        <v>5276</v>
      </c>
      <c r="K10" s="407">
        <f>I10/I6</f>
        <v>5.2541494094129192E-2</v>
      </c>
      <c r="L10" s="353">
        <v>289817</v>
      </c>
      <c r="M10" s="357">
        <v>5826</v>
      </c>
      <c r="N10" s="422">
        <f>L10/L6</f>
        <v>5.3468022537165288E-2</v>
      </c>
      <c r="O10" s="340">
        <v>307850</v>
      </c>
      <c r="P10" s="341">
        <v>5706</v>
      </c>
      <c r="Q10" s="407">
        <f>O10/O6</f>
        <v>5.6411992069886736E-2</v>
      </c>
      <c r="R10" s="349">
        <v>313157</v>
      </c>
      <c r="S10" s="357">
        <v>4840</v>
      </c>
      <c r="T10" s="413">
        <f>R10/R6</f>
        <v>5.7045566575597395E-2</v>
      </c>
      <c r="U10" s="346">
        <v>325256</v>
      </c>
      <c r="V10" s="341">
        <v>5540</v>
      </c>
      <c r="W10" s="407">
        <f>U10/U6</f>
        <v>5.8923700785803931E-2</v>
      </c>
      <c r="X10" s="349">
        <v>356949</v>
      </c>
      <c r="Y10" s="357">
        <v>5831</v>
      </c>
      <c r="Z10" s="413">
        <f>X10/X6</f>
        <v>6.4008287478082543E-2</v>
      </c>
      <c r="AA10" s="342">
        <v>367653</v>
      </c>
      <c r="AB10" s="441">
        <v>5713</v>
      </c>
      <c r="AC10" s="407">
        <f>AA10/AA6</f>
        <v>6.5521524086114516E-2</v>
      </c>
      <c r="AD10" s="10" t="s">
        <v>298</v>
      </c>
    </row>
    <row r="11" spans="1:30">
      <c r="B11" s="39" t="s">
        <v>106</v>
      </c>
      <c r="C11" s="340">
        <v>112591</v>
      </c>
      <c r="D11" s="341">
        <v>7110</v>
      </c>
      <c r="E11" s="418">
        <f>C11/C6</f>
        <v>2.1201246416589964E-2</v>
      </c>
      <c r="F11" s="358">
        <v>117670</v>
      </c>
      <c r="G11" s="357">
        <v>7623</v>
      </c>
      <c r="H11" s="413">
        <f>F11/F6</f>
        <v>2.2015539786722237E-2</v>
      </c>
      <c r="I11" s="344">
        <v>121629</v>
      </c>
      <c r="J11" s="341">
        <v>6596</v>
      </c>
      <c r="K11" s="407">
        <f>I11/I6</f>
        <v>2.2611239456723463E-2</v>
      </c>
      <c r="L11" s="353">
        <v>129146</v>
      </c>
      <c r="M11" s="357">
        <v>7197</v>
      </c>
      <c r="N11" s="422">
        <f>L11/L6</f>
        <v>2.382600481885034E-2</v>
      </c>
      <c r="O11" s="340">
        <v>124739</v>
      </c>
      <c r="P11" s="341">
        <v>6372</v>
      </c>
      <c r="Q11" s="407">
        <f>O11/O6</f>
        <v>2.2857805680706843E-2</v>
      </c>
      <c r="R11" s="349">
        <v>137619</v>
      </c>
      <c r="S11" s="357">
        <v>6475</v>
      </c>
      <c r="T11" s="413">
        <f>R11/R6</f>
        <v>2.5069067038473156E-2</v>
      </c>
      <c r="U11" s="346">
        <v>138005</v>
      </c>
      <c r="V11" s="341">
        <v>7481</v>
      </c>
      <c r="W11" s="407">
        <f>U11/U6</f>
        <v>2.5001123198172739E-2</v>
      </c>
      <c r="X11" s="349">
        <v>134471</v>
      </c>
      <c r="Y11" s="357">
        <v>7337</v>
      </c>
      <c r="Z11" s="413">
        <f>X11/X6</f>
        <v>2.4113412351527076E-2</v>
      </c>
      <c r="AA11" s="342">
        <v>174832</v>
      </c>
      <c r="AB11" s="441">
        <v>8688</v>
      </c>
      <c r="AC11" s="407">
        <f>AA11/AA6</f>
        <v>3.1157801239276094E-2</v>
      </c>
      <c r="AD11" s="10" t="s">
        <v>298</v>
      </c>
    </row>
    <row r="12" spans="1:30" ht="15.75" thickBot="1">
      <c r="B12" s="39" t="s">
        <v>135</v>
      </c>
      <c r="C12" s="383">
        <v>248297</v>
      </c>
      <c r="D12" s="348">
        <v>1066</v>
      </c>
      <c r="E12" s="419">
        <f>C12/C6</f>
        <v>4.6755121470632988E-2</v>
      </c>
      <c r="F12" s="360">
        <v>257186</v>
      </c>
      <c r="G12" s="361">
        <v>1004</v>
      </c>
      <c r="H12" s="414">
        <f>F12/F6</f>
        <v>4.8118370150318224E-2</v>
      </c>
      <c r="I12" s="363">
        <v>264025</v>
      </c>
      <c r="J12" s="348">
        <v>630</v>
      </c>
      <c r="K12" s="408">
        <f>I12/I6</f>
        <v>4.9083133936490581E-2</v>
      </c>
      <c r="L12" s="354">
        <v>266850</v>
      </c>
      <c r="M12" s="361">
        <v>888</v>
      </c>
      <c r="N12" s="423">
        <f>L12/L6</f>
        <v>4.9230865732660813E-2</v>
      </c>
      <c r="O12" s="383">
        <v>276440</v>
      </c>
      <c r="P12" s="348">
        <v>454</v>
      </c>
      <c r="Q12" s="408">
        <f>O12/O6</f>
        <v>5.065626469968975E-2</v>
      </c>
      <c r="R12" s="384">
        <v>282040</v>
      </c>
      <c r="S12" s="361">
        <v>950</v>
      </c>
      <c r="T12" s="414">
        <f>R12/R6</f>
        <v>5.1377205673133572E-2</v>
      </c>
      <c r="U12" s="367">
        <v>288460</v>
      </c>
      <c r="V12" s="348">
        <v>788</v>
      </c>
      <c r="W12" s="408">
        <f>U12/U6</f>
        <v>5.2257700791601087E-2</v>
      </c>
      <c r="X12" s="384">
        <v>296666</v>
      </c>
      <c r="Y12" s="361">
        <v>938</v>
      </c>
      <c r="Z12" s="414">
        <f>X12/X6</f>
        <v>5.3198307357557623E-2</v>
      </c>
      <c r="AA12" s="343">
        <v>308013</v>
      </c>
      <c r="AB12" s="348">
        <v>760</v>
      </c>
      <c r="AC12" s="408">
        <f>AA12/AA6</f>
        <v>5.4892741792767617E-2</v>
      </c>
      <c r="AD12" s="10" t="s">
        <v>298</v>
      </c>
    </row>
    <row r="13" spans="1:30">
      <c r="C13" s="39"/>
      <c r="D13" s="15"/>
      <c r="E13" s="404"/>
      <c r="F13" s="16"/>
      <c r="G13" s="15"/>
      <c r="H13" s="404"/>
      <c r="I13" s="75"/>
      <c r="J13" s="15"/>
      <c r="K13" s="404"/>
      <c r="L13" s="39"/>
      <c r="M13" s="15"/>
      <c r="N13" s="404"/>
      <c r="O13" s="39"/>
      <c r="P13" s="15"/>
      <c r="Q13" s="404"/>
      <c r="R13" s="39"/>
      <c r="S13" s="15"/>
      <c r="V13" s="19"/>
      <c r="X13" s="39"/>
      <c r="Y13" s="15"/>
      <c r="AB13" s="19"/>
      <c r="AD13" s="10"/>
    </row>
    <row r="14" spans="1:30" ht="15.75">
      <c r="B14" s="27" t="s">
        <v>29</v>
      </c>
      <c r="C14" s="351"/>
      <c r="D14" s="352"/>
      <c r="E14" s="415"/>
      <c r="F14" s="374"/>
      <c r="G14" s="352"/>
      <c r="H14" s="415"/>
      <c r="I14" s="75"/>
      <c r="J14" s="15"/>
      <c r="K14" s="404"/>
      <c r="L14" s="39"/>
      <c r="M14" s="15"/>
      <c r="N14" s="404"/>
      <c r="O14" s="39"/>
      <c r="P14" s="15"/>
      <c r="Q14" s="404"/>
      <c r="R14" s="39"/>
      <c r="S14" s="15"/>
      <c r="T14" s="404"/>
      <c r="U14" s="16"/>
      <c r="V14" s="15"/>
      <c r="W14" s="404"/>
      <c r="X14" s="39"/>
      <c r="Y14" s="15"/>
      <c r="Z14" s="404"/>
      <c r="AA14" s="5"/>
      <c r="AB14" s="15"/>
      <c r="AC14" s="404"/>
      <c r="AD14" s="10"/>
    </row>
    <row r="15" spans="1:30" ht="16.5" thickBot="1">
      <c r="A15" t="s">
        <v>24</v>
      </c>
      <c r="B15" t="s">
        <v>25</v>
      </c>
      <c r="C15" s="351"/>
      <c r="D15" s="352"/>
      <c r="E15" s="415"/>
      <c r="F15" s="374"/>
      <c r="G15" s="352"/>
      <c r="H15" s="415"/>
      <c r="I15" s="75"/>
      <c r="J15" s="15"/>
      <c r="K15" s="404"/>
      <c r="L15" s="39"/>
      <c r="M15" s="15"/>
      <c r="N15" s="404"/>
      <c r="O15" s="39"/>
      <c r="P15" s="15"/>
      <c r="Q15" s="404"/>
      <c r="R15" s="39"/>
      <c r="S15" s="15"/>
      <c r="T15" s="404"/>
      <c r="U15" s="16"/>
      <c r="V15" s="15"/>
      <c r="W15" s="404"/>
      <c r="X15" s="39"/>
      <c r="Y15" s="15"/>
      <c r="Z15" s="404"/>
      <c r="AA15" s="16"/>
      <c r="AB15" s="15"/>
      <c r="AC15" s="404"/>
      <c r="AD15" s="10"/>
    </row>
    <row r="16" spans="1:30">
      <c r="B16" s="39" t="s">
        <v>129</v>
      </c>
      <c r="C16" s="377">
        <v>144509</v>
      </c>
      <c r="D16" s="378" t="s">
        <v>296</v>
      </c>
      <c r="E16" s="417">
        <f>C16/C16</f>
        <v>1</v>
      </c>
      <c r="F16" s="375">
        <v>145769</v>
      </c>
      <c r="G16" s="370" t="s">
        <v>296</v>
      </c>
      <c r="H16" s="412">
        <f>F16/F16</f>
        <v>1</v>
      </c>
      <c r="I16" s="379">
        <v>147066</v>
      </c>
      <c r="J16" s="378" t="s">
        <v>296</v>
      </c>
      <c r="K16" s="406">
        <f>I16/I16</f>
        <v>1</v>
      </c>
      <c r="L16" s="380">
        <v>149226</v>
      </c>
      <c r="M16" s="370" t="s">
        <v>296</v>
      </c>
      <c r="N16" s="421">
        <f>L16/L16</f>
        <v>1</v>
      </c>
      <c r="O16" s="377">
        <v>150287</v>
      </c>
      <c r="P16" s="378" t="s">
        <v>296</v>
      </c>
      <c r="Q16" s="406">
        <f>O16/O16</f>
        <v>1</v>
      </c>
      <c r="R16" s="381">
        <v>151436</v>
      </c>
      <c r="S16" s="370" t="s">
        <v>296</v>
      </c>
      <c r="T16" s="412">
        <f>R16/R16</f>
        <v>1</v>
      </c>
      <c r="U16" s="382">
        <v>153102</v>
      </c>
      <c r="V16" s="378" t="s">
        <v>296</v>
      </c>
      <c r="W16" s="406">
        <f>U16/U16</f>
        <v>1</v>
      </c>
      <c r="X16" s="381">
        <v>154930</v>
      </c>
      <c r="Y16" s="370" t="s">
        <v>296</v>
      </c>
      <c r="Z16" s="412">
        <f>X16/X16</f>
        <v>1</v>
      </c>
      <c r="AA16" s="488">
        <v>156277</v>
      </c>
      <c r="AB16" s="821" t="s">
        <v>296</v>
      </c>
      <c r="AC16" s="406">
        <f>AA16/AA16</f>
        <v>1</v>
      </c>
      <c r="AD16" s="10" t="s">
        <v>298</v>
      </c>
    </row>
    <row r="17" spans="1:30">
      <c r="B17" s="39" t="s">
        <v>91</v>
      </c>
      <c r="C17" s="340">
        <v>120588</v>
      </c>
      <c r="D17" s="341">
        <v>211</v>
      </c>
      <c r="E17" s="418">
        <f>C17/C16</f>
        <v>0.83446705741510907</v>
      </c>
      <c r="F17" s="358">
        <v>121211</v>
      </c>
      <c r="G17" s="357">
        <v>31</v>
      </c>
      <c r="H17" s="413">
        <f>F17/F16</f>
        <v>0.83152796547962871</v>
      </c>
      <c r="I17" s="344">
        <v>121305</v>
      </c>
      <c r="J17" s="341">
        <v>127</v>
      </c>
      <c r="K17" s="407">
        <f>I17/I16</f>
        <v>0.82483374811309207</v>
      </c>
      <c r="L17" s="353">
        <v>122605</v>
      </c>
      <c r="M17" s="357">
        <v>145</v>
      </c>
      <c r="N17" s="422">
        <f>L17/L16</f>
        <v>0.82160615442349183</v>
      </c>
      <c r="O17" s="340">
        <v>122289</v>
      </c>
      <c r="P17" s="341">
        <v>490</v>
      </c>
      <c r="Q17" s="407">
        <f>O17/O16</f>
        <v>0.81370311470719359</v>
      </c>
      <c r="R17" s="349">
        <v>122983</v>
      </c>
      <c r="S17" s="357">
        <v>143</v>
      </c>
      <c r="T17" s="413">
        <f>R17/R16</f>
        <v>0.81211204733352704</v>
      </c>
      <c r="U17" s="346">
        <v>123644</v>
      </c>
      <c r="V17" s="341">
        <v>472</v>
      </c>
      <c r="W17" s="407">
        <f>U17/U16</f>
        <v>0.80759232407153403</v>
      </c>
      <c r="X17" s="349">
        <v>124358</v>
      </c>
      <c r="Y17" s="357">
        <v>113</v>
      </c>
      <c r="Z17" s="413">
        <f>X17/X16</f>
        <v>0.80267217453043305</v>
      </c>
      <c r="AA17" s="342">
        <v>124386</v>
      </c>
      <c r="AB17" s="341">
        <v>315</v>
      </c>
      <c r="AC17" s="407">
        <f>AA17/AA16</f>
        <v>0.79593286280130793</v>
      </c>
      <c r="AD17" s="10" t="s">
        <v>298</v>
      </c>
    </row>
    <row r="18" spans="1:30">
      <c r="B18" s="39" t="s">
        <v>104</v>
      </c>
      <c r="C18" s="340">
        <v>87</v>
      </c>
      <c r="D18" s="341">
        <v>103</v>
      </c>
      <c r="E18" s="418">
        <f>C18/C16</f>
        <v>6.0203862735192968E-4</v>
      </c>
      <c r="F18" s="358">
        <v>51</v>
      </c>
      <c r="G18" s="357">
        <v>77</v>
      </c>
      <c r="H18" s="413">
        <f>F18/F16</f>
        <v>3.4986862776036055E-4</v>
      </c>
      <c r="I18" s="344">
        <v>54</v>
      </c>
      <c r="J18" s="341">
        <v>78</v>
      </c>
      <c r="K18" s="407">
        <f>I18/I16</f>
        <v>3.6718208151442208E-4</v>
      </c>
      <c r="L18" s="353">
        <v>132</v>
      </c>
      <c r="M18" s="357">
        <v>132</v>
      </c>
      <c r="N18" s="422">
        <f>L18/L16</f>
        <v>8.8456435205661217E-4</v>
      </c>
      <c r="O18" s="340">
        <v>124</v>
      </c>
      <c r="P18" s="341">
        <v>127</v>
      </c>
      <c r="Q18" s="407">
        <f>O18/O16</f>
        <v>8.2508799829659248E-4</v>
      </c>
      <c r="R18" s="349">
        <v>207</v>
      </c>
      <c r="S18" s="357">
        <v>209</v>
      </c>
      <c r="T18" s="413">
        <f>R18/R16</f>
        <v>1.3669140759132571E-3</v>
      </c>
      <c r="U18" s="346">
        <v>575</v>
      </c>
      <c r="V18" s="341">
        <v>122</v>
      </c>
      <c r="W18" s="407">
        <f>U18/U16</f>
        <v>3.7556661572023878E-3</v>
      </c>
      <c r="X18" s="349">
        <v>329</v>
      </c>
      <c r="Y18" s="357">
        <v>282</v>
      </c>
      <c r="Z18" s="413">
        <f>X18/X16</f>
        <v>2.1235396630736461E-3</v>
      </c>
      <c r="AA18" s="342"/>
      <c r="AB18" s="341"/>
      <c r="AC18" s="407">
        <f>AA18/AA16</f>
        <v>0</v>
      </c>
      <c r="AD18" s="10" t="s">
        <v>298</v>
      </c>
    </row>
    <row r="19" spans="1:30" ht="15" customHeight="1">
      <c r="B19" s="39" t="s">
        <v>92</v>
      </c>
      <c r="C19" s="340">
        <v>7052</v>
      </c>
      <c r="D19" s="341">
        <v>993</v>
      </c>
      <c r="E19" s="418">
        <f>C19/C16</f>
        <v>4.8799728736618482E-2</v>
      </c>
      <c r="F19" s="358">
        <v>7766</v>
      </c>
      <c r="G19" s="357">
        <v>1050</v>
      </c>
      <c r="H19" s="413">
        <f>F19/F16</f>
        <v>5.3276073787979612E-2</v>
      </c>
      <c r="I19" s="344">
        <v>8815</v>
      </c>
      <c r="J19" s="341">
        <v>780</v>
      </c>
      <c r="K19" s="407">
        <f>I19/I16</f>
        <v>5.9939074973141312E-2</v>
      </c>
      <c r="L19" s="353">
        <v>8092</v>
      </c>
      <c r="M19" s="357">
        <v>855</v>
      </c>
      <c r="N19" s="422">
        <f>L19/L16</f>
        <v>5.4226475279106859E-2</v>
      </c>
      <c r="O19" s="340">
        <v>9795</v>
      </c>
      <c r="P19" s="341">
        <v>476</v>
      </c>
      <c r="Q19" s="407">
        <f>O19/O16</f>
        <v>6.5175297929960671E-2</v>
      </c>
      <c r="R19" s="349">
        <v>9544</v>
      </c>
      <c r="S19" s="357">
        <v>596</v>
      </c>
      <c r="T19" s="413">
        <f>R19/R16</f>
        <v>6.3023323384135868E-2</v>
      </c>
      <c r="U19" s="346">
        <v>8964</v>
      </c>
      <c r="V19" s="341">
        <v>869</v>
      </c>
      <c r="W19" s="407">
        <f>U19/U16</f>
        <v>5.8549202492456008E-2</v>
      </c>
      <c r="X19" s="349">
        <v>8312</v>
      </c>
      <c r="Y19" s="357">
        <v>1095</v>
      </c>
      <c r="Z19" s="413">
        <f>X19/X16</f>
        <v>5.365003549990318E-2</v>
      </c>
      <c r="AA19" s="822">
        <v>9542</v>
      </c>
      <c r="AB19" s="823">
        <v>877</v>
      </c>
      <c r="AC19" s="407">
        <f>AA19/AA16</f>
        <v>6.1058249134549547E-2</v>
      </c>
      <c r="AD19" s="10" t="s">
        <v>298</v>
      </c>
    </row>
    <row r="20" spans="1:30">
      <c r="B20" s="39" t="s">
        <v>93</v>
      </c>
      <c r="C20" s="340">
        <v>6572</v>
      </c>
      <c r="D20" s="341">
        <v>1065</v>
      </c>
      <c r="E20" s="418">
        <f>C20/C16</f>
        <v>4.5478136309849211E-2</v>
      </c>
      <c r="F20" s="358">
        <v>7234</v>
      </c>
      <c r="G20" s="357">
        <v>631</v>
      </c>
      <c r="H20" s="413">
        <f>F20/F16</f>
        <v>4.9626463788597024E-2</v>
      </c>
      <c r="I20" s="344">
        <v>7144</v>
      </c>
      <c r="J20" s="341">
        <v>863</v>
      </c>
      <c r="K20" s="407">
        <f>I20/I16</f>
        <v>4.8576829450722801E-2</v>
      </c>
      <c r="L20" s="353">
        <v>8037</v>
      </c>
      <c r="M20" s="357">
        <v>797</v>
      </c>
      <c r="N20" s="422">
        <f>L20/L16</f>
        <v>5.3857906799083269E-2</v>
      </c>
      <c r="O20" s="340">
        <v>8637</v>
      </c>
      <c r="P20" s="341">
        <v>545</v>
      </c>
      <c r="Q20" s="407">
        <f>O20/O16</f>
        <v>5.7470040655545722E-2</v>
      </c>
      <c r="R20" s="349">
        <v>7781</v>
      </c>
      <c r="S20" s="357">
        <v>1570</v>
      </c>
      <c r="T20" s="413">
        <f>R20/R16</f>
        <v>5.1381441665125864E-2</v>
      </c>
      <c r="U20" s="346">
        <v>8882</v>
      </c>
      <c r="V20" s="341">
        <v>881</v>
      </c>
      <c r="W20" s="407">
        <f>U20/U16</f>
        <v>5.8013611840472365E-2</v>
      </c>
      <c r="X20" s="349">
        <v>8961</v>
      </c>
      <c r="Y20" s="357">
        <v>879</v>
      </c>
      <c r="Z20" s="413">
        <f>X20/X16</f>
        <v>5.7839024075388885E-2</v>
      </c>
      <c r="AA20" s="342">
        <v>10024</v>
      </c>
      <c r="AB20" s="341">
        <v>886</v>
      </c>
      <c r="AC20" s="407">
        <f>AA20/AA16</f>
        <v>6.4142516173205266E-2</v>
      </c>
      <c r="AD20" s="10" t="s">
        <v>298</v>
      </c>
    </row>
    <row r="21" spans="1:30">
      <c r="B21" s="39" t="s">
        <v>106</v>
      </c>
      <c r="C21" s="340">
        <v>3934</v>
      </c>
      <c r="D21" s="341">
        <v>1468</v>
      </c>
      <c r="E21" s="418">
        <f>C21/C16</f>
        <v>2.7223217931063116E-2</v>
      </c>
      <c r="F21" s="358">
        <v>2989</v>
      </c>
      <c r="G21" s="357">
        <v>1198</v>
      </c>
      <c r="H21" s="413">
        <f>F21/F16</f>
        <v>2.0505045654425839E-2</v>
      </c>
      <c r="I21" s="344">
        <v>3208</v>
      </c>
      <c r="J21" s="341">
        <v>1057</v>
      </c>
      <c r="K21" s="407">
        <f>I21/I16</f>
        <v>2.181333550922715E-2</v>
      </c>
      <c r="L21" s="353">
        <v>3592</v>
      </c>
      <c r="M21" s="357">
        <v>1106</v>
      </c>
      <c r="N21" s="422">
        <f>L21/L16</f>
        <v>2.4070872368085989E-2</v>
      </c>
      <c r="O21" s="340">
        <v>2195</v>
      </c>
      <c r="P21" s="341">
        <v>691</v>
      </c>
      <c r="Q21" s="407">
        <f>O21/O16</f>
        <v>1.4605388356943715E-2</v>
      </c>
      <c r="R21" s="349">
        <v>3540</v>
      </c>
      <c r="S21" s="357">
        <v>1687</v>
      </c>
      <c r="T21" s="413">
        <f>R21/R16</f>
        <v>2.3376211733009324E-2</v>
      </c>
      <c r="U21" s="346">
        <v>2741</v>
      </c>
      <c r="V21" s="341">
        <v>1135</v>
      </c>
      <c r="W21" s="407">
        <f>U21/U16</f>
        <v>1.7903097281550862E-2</v>
      </c>
      <c r="X21" s="349">
        <v>5070</v>
      </c>
      <c r="Y21" s="357">
        <v>1406</v>
      </c>
      <c r="Z21" s="413">
        <f>X21/X16</f>
        <v>3.2724456206028527E-2</v>
      </c>
      <c r="AA21" s="342"/>
      <c r="AB21" s="341"/>
      <c r="AC21" s="407">
        <f>AA21/AA16</f>
        <v>0</v>
      </c>
      <c r="AD21" s="10" t="s">
        <v>298</v>
      </c>
    </row>
    <row r="22" spans="1:30" ht="15.75" thickBot="1">
      <c r="B22" s="39" t="s">
        <v>135</v>
      </c>
      <c r="C22" s="383">
        <v>6149</v>
      </c>
      <c r="D22" s="348" t="s">
        <v>296</v>
      </c>
      <c r="E22" s="419">
        <f>C22/C16</f>
        <v>4.2550982983758798E-2</v>
      </c>
      <c r="F22" s="360">
        <v>6321</v>
      </c>
      <c r="G22" s="361" t="s">
        <v>296</v>
      </c>
      <c r="H22" s="414">
        <f>F22/F16</f>
        <v>4.3363129334769393E-2</v>
      </c>
      <c r="I22" s="363">
        <v>6494</v>
      </c>
      <c r="J22" s="348" t="s">
        <v>296</v>
      </c>
      <c r="K22" s="408">
        <f>I22/I16</f>
        <v>4.4157045136197351E-2</v>
      </c>
      <c r="L22" s="354">
        <v>6768</v>
      </c>
      <c r="M22" s="361" t="s">
        <v>296</v>
      </c>
      <c r="N22" s="423">
        <f>L22/L16</f>
        <v>4.5354026778175384E-2</v>
      </c>
      <c r="O22" s="383">
        <v>6777</v>
      </c>
      <c r="P22" s="348" t="s">
        <v>296</v>
      </c>
      <c r="Q22" s="408">
        <f>O22/O16</f>
        <v>4.5093720681096836E-2</v>
      </c>
      <c r="R22" s="384">
        <v>7270</v>
      </c>
      <c r="S22" s="361" t="s">
        <v>296</v>
      </c>
      <c r="T22" s="414">
        <f>R22/R16</f>
        <v>4.8007078898016323E-2</v>
      </c>
      <c r="U22" s="367">
        <v>7392</v>
      </c>
      <c r="V22" s="348" t="s">
        <v>296</v>
      </c>
      <c r="W22" s="408">
        <f>U22/U16</f>
        <v>4.8281537798330526E-2</v>
      </c>
      <c r="X22" s="384">
        <v>7807</v>
      </c>
      <c r="Y22" s="361" t="s">
        <v>296</v>
      </c>
      <c r="Z22" s="414">
        <f>X22/X16</f>
        <v>5.0390498935002907E-2</v>
      </c>
      <c r="AA22" s="343">
        <v>7863</v>
      </c>
      <c r="AB22" s="820" t="s">
        <v>296</v>
      </c>
      <c r="AC22" s="408">
        <f>AA22/AA16</f>
        <v>5.0314505653423089E-2</v>
      </c>
      <c r="AD22" s="10" t="s">
        <v>298</v>
      </c>
    </row>
    <row r="23" spans="1:30">
      <c r="C23" s="75"/>
      <c r="D23" s="15"/>
      <c r="E23" s="404"/>
      <c r="F23" s="16"/>
      <c r="G23" s="15"/>
      <c r="H23" s="404"/>
      <c r="I23" s="75"/>
      <c r="J23" s="15"/>
      <c r="K23" s="404"/>
      <c r="L23" s="39"/>
      <c r="M23" s="15"/>
      <c r="N23" s="404"/>
      <c r="O23" s="39"/>
      <c r="P23" s="15"/>
      <c r="Q23" s="404"/>
      <c r="R23" s="39"/>
      <c r="S23" s="15"/>
      <c r="V23" s="19"/>
      <c r="X23" s="39"/>
      <c r="Y23" s="15"/>
      <c r="AB23" s="19"/>
      <c r="AD23" s="10"/>
    </row>
    <row r="24" spans="1:30" ht="15.75">
      <c r="B24" s="27" t="s">
        <v>27</v>
      </c>
      <c r="C24" s="75"/>
      <c r="D24" s="352"/>
      <c r="E24" s="415"/>
      <c r="F24" s="374"/>
      <c r="G24" s="352"/>
      <c r="H24" s="415"/>
      <c r="I24" s="39"/>
      <c r="J24" s="15"/>
      <c r="K24" s="404"/>
      <c r="L24" s="39"/>
      <c r="M24" s="15"/>
      <c r="N24" s="404"/>
      <c r="O24" s="39"/>
      <c r="P24" s="15"/>
      <c r="Q24" s="404"/>
      <c r="R24" s="39"/>
      <c r="S24" s="15"/>
      <c r="T24" s="404"/>
      <c r="U24" s="16"/>
      <c r="V24" s="15"/>
      <c r="W24" s="404"/>
      <c r="X24" s="39"/>
      <c r="Y24" s="15"/>
      <c r="Z24" s="404"/>
      <c r="AA24" s="16"/>
      <c r="AB24" s="15"/>
      <c r="AC24" s="404"/>
      <c r="AD24" s="10"/>
    </row>
    <row r="25" spans="1:30" ht="16.5" thickBot="1">
      <c r="A25" t="s">
        <v>24</v>
      </c>
      <c r="B25" t="s">
        <v>25</v>
      </c>
      <c r="C25" s="75"/>
      <c r="D25" s="352"/>
      <c r="E25" s="415"/>
      <c r="F25" s="374"/>
      <c r="G25" s="352"/>
      <c r="H25" s="415"/>
      <c r="I25" s="39"/>
      <c r="J25" s="15"/>
      <c r="K25" s="404"/>
      <c r="L25" s="39"/>
      <c r="M25" s="15"/>
      <c r="N25" s="404"/>
      <c r="O25" s="39"/>
      <c r="P25" s="15"/>
      <c r="Q25" s="404"/>
      <c r="R25" s="39"/>
      <c r="S25" s="15"/>
      <c r="T25" s="404"/>
      <c r="U25" s="16"/>
      <c r="V25" s="15"/>
      <c r="W25" s="404"/>
      <c r="X25" s="39"/>
      <c r="Y25" s="15"/>
      <c r="Z25" s="404"/>
      <c r="AA25" s="16"/>
      <c r="AB25" s="15"/>
      <c r="AC25" s="404"/>
      <c r="AD25" s="10"/>
    </row>
    <row r="26" spans="1:30">
      <c r="B26" s="39" t="s">
        <v>129</v>
      </c>
      <c r="C26" s="377">
        <v>106963</v>
      </c>
      <c r="D26" s="378">
        <v>29</v>
      </c>
      <c r="E26" s="417">
        <f>C26/C26</f>
        <v>1</v>
      </c>
      <c r="F26" s="375">
        <v>107887</v>
      </c>
      <c r="G26" s="370">
        <v>28</v>
      </c>
      <c r="H26" s="412">
        <f>F26/F26</f>
        <v>1</v>
      </c>
      <c r="I26" s="382">
        <v>108994</v>
      </c>
      <c r="J26" s="378">
        <v>27</v>
      </c>
      <c r="K26" s="406">
        <f>I26/I26</f>
        <v>1</v>
      </c>
      <c r="L26" s="385">
        <v>110731</v>
      </c>
      <c r="M26" s="370">
        <v>44</v>
      </c>
      <c r="N26" s="421">
        <f>L26/L26</f>
        <v>1</v>
      </c>
      <c r="O26" s="386">
        <v>111398</v>
      </c>
      <c r="P26" s="387">
        <v>36</v>
      </c>
      <c r="Q26" s="406">
        <f>O26/O26</f>
        <v>1</v>
      </c>
      <c r="R26" s="375">
        <v>112216</v>
      </c>
      <c r="S26" s="370">
        <v>42</v>
      </c>
      <c r="T26" s="424">
        <f>R26/R26</f>
        <v>1</v>
      </c>
      <c r="U26" s="388">
        <v>114008</v>
      </c>
      <c r="V26" s="389">
        <v>26</v>
      </c>
      <c r="W26" s="427">
        <f>U26/U26</f>
        <v>1</v>
      </c>
      <c r="X26" s="375">
        <v>115773</v>
      </c>
      <c r="Y26" s="370">
        <v>29</v>
      </c>
      <c r="Z26" s="424">
        <f>X26/X26</f>
        <v>1</v>
      </c>
      <c r="AA26" s="388">
        <v>116957</v>
      </c>
      <c r="AB26" s="389">
        <v>30</v>
      </c>
      <c r="AC26" s="427">
        <f>AA26/AA26</f>
        <v>1</v>
      </c>
      <c r="AD26" s="10" t="s">
        <v>298</v>
      </c>
    </row>
    <row r="27" spans="1:30">
      <c r="B27" s="39" t="s">
        <v>91</v>
      </c>
      <c r="C27" s="340">
        <v>85173</v>
      </c>
      <c r="D27" s="341">
        <v>925</v>
      </c>
      <c r="E27" s="418">
        <f>C27/C26</f>
        <v>0.79628469657732115</v>
      </c>
      <c r="F27" s="358">
        <v>84528</v>
      </c>
      <c r="G27" s="357">
        <v>609</v>
      </c>
      <c r="H27" s="413">
        <f>F27/F26</f>
        <v>0.7834864256119829</v>
      </c>
      <c r="I27" s="346">
        <v>85220</v>
      </c>
      <c r="J27" s="341">
        <v>845</v>
      </c>
      <c r="K27" s="407">
        <f>I27/I26</f>
        <v>0.78187790153586434</v>
      </c>
      <c r="L27" s="356">
        <v>86294</v>
      </c>
      <c r="M27" s="357">
        <v>1006</v>
      </c>
      <c r="N27" s="422">
        <f>L27/L26</f>
        <v>0.77931202644245967</v>
      </c>
      <c r="O27" s="342">
        <v>86087</v>
      </c>
      <c r="P27" s="364">
        <v>1098</v>
      </c>
      <c r="Q27" s="407">
        <f>O27/O26</f>
        <v>0.77278766225605489</v>
      </c>
      <c r="R27" s="358">
        <v>85606</v>
      </c>
      <c r="S27" s="357">
        <v>688</v>
      </c>
      <c r="T27" s="425">
        <f>R27/R26</f>
        <v>0.76286804020817001</v>
      </c>
      <c r="U27" s="366">
        <v>85681</v>
      </c>
      <c r="V27" s="369">
        <v>692</v>
      </c>
      <c r="W27" s="428">
        <f>U27/U26</f>
        <v>0.7515349800014034</v>
      </c>
      <c r="X27" s="358">
        <v>87857</v>
      </c>
      <c r="Y27" s="357">
        <v>861</v>
      </c>
      <c r="Z27" s="425">
        <f>X27/X26</f>
        <v>0.75887296692665818</v>
      </c>
      <c r="AA27" s="366">
        <v>87364</v>
      </c>
      <c r="AB27" s="369">
        <v>893</v>
      </c>
      <c r="AC27" s="428">
        <f>AA27/AA26</f>
        <v>0.74697538411552966</v>
      </c>
      <c r="AD27" s="10" t="s">
        <v>298</v>
      </c>
    </row>
    <row r="28" spans="1:30">
      <c r="B28" s="39" t="s">
        <v>104</v>
      </c>
      <c r="C28" s="340">
        <v>87</v>
      </c>
      <c r="D28" s="341">
        <v>103</v>
      </c>
      <c r="E28" s="418">
        <f>C28/C26</f>
        <v>8.133653693333209E-4</v>
      </c>
      <c r="F28" s="358">
        <v>45</v>
      </c>
      <c r="G28" s="357">
        <v>77</v>
      </c>
      <c r="H28" s="413">
        <f>F28/F26</f>
        <v>4.1710308007452242E-4</v>
      </c>
      <c r="I28" s="346">
        <v>54</v>
      </c>
      <c r="J28" s="341">
        <v>78</v>
      </c>
      <c r="K28" s="407">
        <f>I28/I26</f>
        <v>4.9544011596968642E-4</v>
      </c>
      <c r="L28" s="356">
        <v>117</v>
      </c>
      <c r="M28" s="357">
        <v>129</v>
      </c>
      <c r="N28" s="422">
        <f>L28/L26</f>
        <v>1.0566146788162304E-3</v>
      </c>
      <c r="O28" s="342">
        <v>118</v>
      </c>
      <c r="P28" s="364">
        <v>122</v>
      </c>
      <c r="Q28" s="407">
        <f>O28/O26</f>
        <v>1.05926497782725E-3</v>
      </c>
      <c r="R28" s="358">
        <v>207</v>
      </c>
      <c r="S28" s="357">
        <v>209</v>
      </c>
      <c r="T28" s="425">
        <f>R28/R26</f>
        <v>1.8446567334426463E-3</v>
      </c>
      <c r="U28" s="366">
        <v>575</v>
      </c>
      <c r="V28" s="369">
        <v>122</v>
      </c>
      <c r="W28" s="428">
        <f>U28/U26</f>
        <v>5.0435057188969196E-3</v>
      </c>
      <c r="X28" s="358">
        <v>329</v>
      </c>
      <c r="Y28" s="357">
        <v>282</v>
      </c>
      <c r="Z28" s="425">
        <f>X28/X26</f>
        <v>2.8417679424390832E-3</v>
      </c>
      <c r="AA28" s="366"/>
      <c r="AB28" s="369"/>
      <c r="AC28" s="428">
        <f>AA28/AA26</f>
        <v>0</v>
      </c>
      <c r="AD28" s="10" t="s">
        <v>298</v>
      </c>
    </row>
    <row r="29" spans="1:30" ht="15" customHeight="1">
      <c r="B29" s="39" t="s">
        <v>92</v>
      </c>
      <c r="C29" s="340">
        <v>6596</v>
      </c>
      <c r="D29" s="341">
        <v>1043</v>
      </c>
      <c r="E29" s="418">
        <f>C29/C26</f>
        <v>6.1666183633592928E-2</v>
      </c>
      <c r="F29" s="358">
        <v>7390</v>
      </c>
      <c r="G29" s="357">
        <v>1042</v>
      </c>
      <c r="H29" s="413">
        <f>F29/F26</f>
        <v>6.8497594705571568E-2</v>
      </c>
      <c r="I29" s="346">
        <v>8369</v>
      </c>
      <c r="J29" s="341">
        <v>856</v>
      </c>
      <c r="K29" s="407">
        <f>I29/I26</f>
        <v>7.6784043158338991E-2</v>
      </c>
      <c r="L29" s="356">
        <v>7508</v>
      </c>
      <c r="M29" s="357">
        <v>938</v>
      </c>
      <c r="N29" s="422">
        <f>L29/L26</f>
        <v>6.7803957338053486E-2</v>
      </c>
      <c r="O29" s="342">
        <v>9073</v>
      </c>
      <c r="P29" s="364">
        <v>765</v>
      </c>
      <c r="Q29" s="407">
        <f>O29/O26</f>
        <v>8.1446704608700335E-2</v>
      </c>
      <c r="R29" s="358">
        <v>8891</v>
      </c>
      <c r="S29" s="357">
        <v>810</v>
      </c>
      <c r="T29" s="425">
        <f>R29/R26</f>
        <v>7.9231125686176657E-2</v>
      </c>
      <c r="U29" s="366">
        <v>8682</v>
      </c>
      <c r="V29" s="369">
        <v>815</v>
      </c>
      <c r="W29" s="428">
        <f>U29/U26</f>
        <v>7.6152550698196611E-2</v>
      </c>
      <c r="X29" s="358">
        <v>7560</v>
      </c>
      <c r="Y29" s="357">
        <v>1185</v>
      </c>
      <c r="Z29" s="425">
        <f>X29/X26</f>
        <v>6.5300199528387448E-2</v>
      </c>
      <c r="AA29" s="366">
        <v>8710</v>
      </c>
      <c r="AB29" s="369">
        <v>970</v>
      </c>
      <c r="AC29" s="428">
        <f>AA29/AA26</f>
        <v>7.4471814427524652E-2</v>
      </c>
      <c r="AD29" s="10" t="s">
        <v>298</v>
      </c>
    </row>
    <row r="30" spans="1:30">
      <c r="B30" s="39" t="s">
        <v>93</v>
      </c>
      <c r="C30" s="340">
        <v>6127</v>
      </c>
      <c r="D30" s="341">
        <v>1311</v>
      </c>
      <c r="E30" s="418">
        <f>C30/C26</f>
        <v>5.7281489860979966E-2</v>
      </c>
      <c r="F30" s="358">
        <v>7137</v>
      </c>
      <c r="G30" s="357">
        <v>684</v>
      </c>
      <c r="H30" s="413">
        <f>F30/F26</f>
        <v>6.6152548499819261E-2</v>
      </c>
      <c r="I30" s="346">
        <v>6996</v>
      </c>
      <c r="J30" s="341">
        <v>896</v>
      </c>
      <c r="K30" s="407">
        <f>I30/I26</f>
        <v>6.418701946896159E-2</v>
      </c>
      <c r="L30" s="356">
        <v>7390</v>
      </c>
      <c r="M30" s="357">
        <v>1209</v>
      </c>
      <c r="N30" s="422">
        <f>L30/L26</f>
        <v>6.6738311764546518E-2</v>
      </c>
      <c r="O30" s="342">
        <v>8325</v>
      </c>
      <c r="P30" s="364">
        <v>744</v>
      </c>
      <c r="Q30" s="407">
        <f>O30/O26</f>
        <v>7.4732041867897087E-2</v>
      </c>
      <c r="R30" s="358">
        <v>7679</v>
      </c>
      <c r="S30" s="357">
        <v>1554</v>
      </c>
      <c r="T30" s="425">
        <f>R30/R26</f>
        <v>6.8430526841092174E-2</v>
      </c>
      <c r="U30" s="366">
        <v>8683</v>
      </c>
      <c r="V30" s="369">
        <v>895</v>
      </c>
      <c r="W30" s="428">
        <f>U30/U26</f>
        <v>7.6161322012490346E-2</v>
      </c>
      <c r="X30" s="358">
        <v>8850</v>
      </c>
      <c r="Y30" s="357">
        <v>914</v>
      </c>
      <c r="Z30" s="425">
        <f>X30/X26</f>
        <v>7.6442693892358318E-2</v>
      </c>
      <c r="AA30" s="366">
        <v>9964</v>
      </c>
      <c r="AB30" s="369">
        <v>887</v>
      </c>
      <c r="AC30" s="428">
        <f>AA30/AA26</f>
        <v>8.5193703668869761E-2</v>
      </c>
      <c r="AD30" s="10" t="s">
        <v>298</v>
      </c>
    </row>
    <row r="31" spans="1:30">
      <c r="B31" s="39" t="s">
        <v>105</v>
      </c>
      <c r="C31" s="340">
        <v>0</v>
      </c>
      <c r="D31" s="341">
        <v>211</v>
      </c>
      <c r="E31" s="418">
        <f>C31/C26</f>
        <v>0</v>
      </c>
      <c r="F31" s="358">
        <v>179</v>
      </c>
      <c r="G31" s="357">
        <v>278</v>
      </c>
      <c r="H31" s="413">
        <f>F31/F26</f>
        <v>1.6591433629631002E-3</v>
      </c>
      <c r="I31" s="346">
        <v>0</v>
      </c>
      <c r="J31" s="341">
        <v>139</v>
      </c>
      <c r="K31" s="407">
        <f>I31/I26</f>
        <v>0</v>
      </c>
      <c r="L31" s="356">
        <v>0</v>
      </c>
      <c r="M31" s="357">
        <v>145</v>
      </c>
      <c r="N31" s="422">
        <f>L31/L26</f>
        <v>0</v>
      </c>
      <c r="O31" s="342">
        <v>74</v>
      </c>
      <c r="P31" s="364">
        <v>119</v>
      </c>
      <c r="Q31" s="407">
        <f>O31/O26</f>
        <v>6.6428481660352971E-4</v>
      </c>
      <c r="R31" s="358">
        <v>0</v>
      </c>
      <c r="S31" s="357">
        <v>143</v>
      </c>
      <c r="T31" s="425">
        <f>R31/R26</f>
        <v>0</v>
      </c>
      <c r="U31" s="366">
        <v>904</v>
      </c>
      <c r="V31" s="369">
        <v>783</v>
      </c>
      <c r="W31" s="428">
        <f>U31/U26</f>
        <v>7.9292681215353301E-3</v>
      </c>
      <c r="X31" s="358">
        <v>42</v>
      </c>
      <c r="Y31" s="357">
        <v>70</v>
      </c>
      <c r="Z31" s="425">
        <f>X31/X26</f>
        <v>3.6277888626881915E-4</v>
      </c>
      <c r="AA31" s="366"/>
      <c r="AB31" s="369"/>
      <c r="AC31" s="428">
        <f>AA31/AA26</f>
        <v>0</v>
      </c>
      <c r="AD31" s="10" t="s">
        <v>298</v>
      </c>
    </row>
    <row r="32" spans="1:30">
      <c r="B32" s="39" t="s">
        <v>106</v>
      </c>
      <c r="C32" s="340">
        <v>3460</v>
      </c>
      <c r="D32" s="341">
        <v>1447</v>
      </c>
      <c r="E32" s="418">
        <f>C32/C26</f>
        <v>3.2347634228658509E-2</v>
      </c>
      <c r="F32" s="358">
        <v>2578</v>
      </c>
      <c r="G32" s="357">
        <v>1187</v>
      </c>
      <c r="H32" s="413">
        <f>F32/F26</f>
        <v>2.389537200960264E-2</v>
      </c>
      <c r="I32" s="346">
        <v>2713</v>
      </c>
      <c r="J32" s="341">
        <v>1032</v>
      </c>
      <c r="K32" s="407">
        <f>I32/I26</f>
        <v>2.4891278418995542E-2</v>
      </c>
      <c r="L32" s="356">
        <v>3185</v>
      </c>
      <c r="M32" s="357">
        <v>1000</v>
      </c>
      <c r="N32" s="422">
        <f>L32/L26</f>
        <v>2.8763399589997379E-2</v>
      </c>
      <c r="O32" s="342">
        <v>1502</v>
      </c>
      <c r="P32" s="364">
        <v>531</v>
      </c>
      <c r="Q32" s="407">
        <f>O32/O26</f>
        <v>1.3483186412682454E-2</v>
      </c>
      <c r="R32" s="358">
        <v>3133</v>
      </c>
      <c r="S32" s="357">
        <v>1651</v>
      </c>
      <c r="T32" s="425">
        <f>R32/R26</f>
        <v>2.7919369786839666E-2</v>
      </c>
      <c r="U32" s="366">
        <v>2581</v>
      </c>
      <c r="V32" s="369">
        <v>1146</v>
      </c>
      <c r="W32" s="428">
        <f>U32/U26</f>
        <v>2.263876219212687E-2</v>
      </c>
      <c r="X32" s="358">
        <v>4608</v>
      </c>
      <c r="Y32" s="357">
        <v>1421</v>
      </c>
      <c r="Z32" s="425">
        <f>X32/X26</f>
        <v>3.9802026379207586E-2</v>
      </c>
      <c r="AA32" s="366"/>
      <c r="AB32" s="369"/>
      <c r="AC32" s="428">
        <f>AA32/AA26</f>
        <v>0</v>
      </c>
      <c r="AD32" s="10" t="s">
        <v>298</v>
      </c>
    </row>
    <row r="33" spans="2:30" ht="15.75" thickBot="1">
      <c r="B33" s="39" t="s">
        <v>135</v>
      </c>
      <c r="C33" s="383">
        <v>5484</v>
      </c>
      <c r="D33" s="348">
        <v>631</v>
      </c>
      <c r="E33" s="419">
        <f>C33/C26</f>
        <v>5.1270065349700363E-2</v>
      </c>
      <c r="F33" s="360">
        <v>6030</v>
      </c>
      <c r="G33" s="361">
        <v>310</v>
      </c>
      <c r="H33" s="414">
        <f>F33/F26</f>
        <v>5.5891812729986001E-2</v>
      </c>
      <c r="I33" s="367">
        <v>5642</v>
      </c>
      <c r="J33" s="348">
        <v>620</v>
      </c>
      <c r="K33" s="408">
        <f>I33/I26</f>
        <v>5.1764317301869825E-2</v>
      </c>
      <c r="L33" s="390">
        <v>6237</v>
      </c>
      <c r="M33" s="361">
        <v>411</v>
      </c>
      <c r="N33" s="423">
        <f>L33/L26</f>
        <v>5.6325690186126737E-2</v>
      </c>
      <c r="O33" s="343">
        <v>6219</v>
      </c>
      <c r="P33" s="391">
        <v>538</v>
      </c>
      <c r="Q33" s="408">
        <f>O33/O26</f>
        <v>5.5826855060234472E-2</v>
      </c>
      <c r="R33" s="360">
        <v>6617</v>
      </c>
      <c r="S33" s="361">
        <v>471</v>
      </c>
      <c r="T33" s="426">
        <f>R33/R26</f>
        <v>5.8966635773864691E-2</v>
      </c>
      <c r="U33" s="365">
        <v>6902</v>
      </c>
      <c r="V33" s="368">
        <v>370</v>
      </c>
      <c r="W33" s="429">
        <f>U33/U26</f>
        <v>6.0539611255350505E-2</v>
      </c>
      <c r="X33" s="360">
        <v>6487</v>
      </c>
      <c r="Y33" s="361">
        <v>659</v>
      </c>
      <c r="Z33" s="426">
        <f>X33/X26</f>
        <v>5.6032062743472139E-2</v>
      </c>
      <c r="AA33" s="365">
        <v>7133</v>
      </c>
      <c r="AB33" s="368">
        <v>422</v>
      </c>
      <c r="AC33" s="429">
        <f>AA33/AA26</f>
        <v>6.0988226442196702E-2</v>
      </c>
      <c r="AD33" s="10" t="s">
        <v>298</v>
      </c>
    </row>
    <row r="34" spans="2:30">
      <c r="X34"/>
      <c r="AD34" s="10"/>
    </row>
    <row r="35" spans="2:30" ht="14.45" customHeight="1">
      <c r="B35" s="892" t="s">
        <v>134</v>
      </c>
      <c r="C35" s="892"/>
      <c r="D35" s="892"/>
      <c r="E35" s="892"/>
      <c r="F35" s="892"/>
      <c r="G35" s="892"/>
      <c r="H35" s="892"/>
      <c r="I35" s="892"/>
      <c r="J35" s="892"/>
      <c r="K35" s="892"/>
      <c r="X35"/>
      <c r="AD35" s="10"/>
    </row>
    <row r="36" spans="2:30">
      <c r="B36" s="892"/>
      <c r="C36" s="892"/>
      <c r="D36" s="892"/>
      <c r="E36" s="892"/>
      <c r="F36" s="892"/>
      <c r="G36" s="892"/>
      <c r="H36" s="892"/>
      <c r="I36" s="892"/>
      <c r="J36" s="892"/>
      <c r="K36" s="892"/>
      <c r="R36" s="5"/>
      <c r="X36"/>
      <c r="AD36" s="10"/>
    </row>
    <row r="37" spans="2:30">
      <c r="B37" s="892"/>
      <c r="C37" s="892"/>
      <c r="D37" s="892"/>
      <c r="E37" s="892"/>
      <c r="F37" s="892"/>
      <c r="G37" s="892"/>
      <c r="H37" s="892"/>
      <c r="I37" s="892"/>
      <c r="J37" s="892"/>
      <c r="K37" s="892"/>
      <c r="Q37" s="817"/>
      <c r="R37" s="815"/>
      <c r="S37" s="816"/>
      <c r="T37" s="817"/>
      <c r="U37" s="818"/>
      <c r="V37" s="815"/>
      <c r="W37" s="817"/>
      <c r="X37" s="815"/>
      <c r="AD37" s="10"/>
    </row>
    <row r="38" spans="2:30">
      <c r="B38" s="1"/>
      <c r="C38" s="1"/>
      <c r="D38" s="1"/>
      <c r="E38" s="409"/>
      <c r="F38" s="376"/>
      <c r="G38" s="1"/>
      <c r="H38" s="409"/>
      <c r="I38" s="1"/>
      <c r="J38" s="1"/>
      <c r="K38" s="409"/>
      <c r="P38" s="815"/>
      <c r="Q38" s="817"/>
      <c r="R38" s="815"/>
      <c r="S38" s="816" t="s">
        <v>605</v>
      </c>
      <c r="T38" s="817" t="s">
        <v>609</v>
      </c>
      <c r="U38" s="818"/>
      <c r="V38" s="815" t="s">
        <v>610</v>
      </c>
      <c r="W38" s="817"/>
      <c r="X38" s="815" t="s">
        <v>611</v>
      </c>
      <c r="AD38" s="10"/>
    </row>
    <row r="39" spans="2:30">
      <c r="B39" s="1"/>
      <c r="C39" s="1"/>
      <c r="D39" s="1"/>
      <c r="E39" s="409"/>
      <c r="F39" s="376"/>
      <c r="G39" s="1"/>
      <c r="H39" s="409"/>
      <c r="I39" s="1"/>
      <c r="J39" s="1"/>
      <c r="K39" s="409"/>
      <c r="R39" s="815"/>
      <c r="S39" s="816"/>
      <c r="T39" s="817"/>
      <c r="U39" s="818"/>
      <c r="V39" s="815"/>
      <c r="W39" s="817"/>
      <c r="X39" s="815"/>
      <c r="AD39" s="10"/>
    </row>
    <row r="40" spans="2:30">
      <c r="R40" s="815"/>
      <c r="S40" s="816"/>
      <c r="T40" s="817"/>
      <c r="U40" s="818"/>
      <c r="V40" s="815"/>
      <c r="W40" s="817"/>
      <c r="X40" s="815"/>
      <c r="AD40" s="10"/>
    </row>
    <row r="41" spans="2:30">
      <c r="R41" s="815"/>
      <c r="S41" s="816"/>
      <c r="T41" s="817"/>
      <c r="U41" s="818"/>
      <c r="V41" s="815"/>
      <c r="W41" s="817"/>
      <c r="X41" s="815"/>
      <c r="AD41" s="10"/>
    </row>
    <row r="42" spans="2:30">
      <c r="R42" s="815"/>
      <c r="S42" s="816"/>
      <c r="T42" s="817"/>
      <c r="U42" s="818"/>
      <c r="V42" s="815"/>
      <c r="W42" s="817"/>
      <c r="X42" s="815"/>
      <c r="AD42" s="10"/>
    </row>
    <row r="43" spans="2:30">
      <c r="R43" s="815"/>
      <c r="S43" s="816"/>
      <c r="T43" s="817"/>
      <c r="U43" s="818"/>
      <c r="V43" s="815"/>
      <c r="W43" s="817"/>
      <c r="X43" s="815"/>
      <c r="AD43" s="10"/>
    </row>
    <row r="44" spans="2:30">
      <c r="R44" s="815"/>
      <c r="S44" s="816"/>
      <c r="T44" s="817"/>
      <c r="U44" s="818"/>
      <c r="V44" s="815"/>
      <c r="W44" s="817"/>
      <c r="X44" s="815"/>
      <c r="AD44" s="10"/>
    </row>
    <row r="45" spans="2:30">
      <c r="R45" s="815"/>
      <c r="S45" s="816"/>
      <c r="T45" s="817"/>
      <c r="U45" s="818"/>
      <c r="V45" s="815"/>
      <c r="W45" s="817"/>
      <c r="X45" s="815"/>
      <c r="AD45" s="10"/>
    </row>
    <row r="46" spans="2:30">
      <c r="Q46" s="817"/>
      <c r="R46" s="815"/>
      <c r="S46" s="816"/>
      <c r="T46" s="817"/>
      <c r="U46" s="818"/>
      <c r="V46" s="815"/>
      <c r="W46" s="817"/>
      <c r="X46" s="815"/>
      <c r="AD46" s="10"/>
    </row>
    <row r="47" spans="2:30" ht="15.75" thickBot="1">
      <c r="X47"/>
      <c r="AD47" s="10"/>
    </row>
    <row r="48" spans="2:30">
      <c r="C48" s="377">
        <v>5241914</v>
      </c>
      <c r="D48" s="378"/>
      <c r="E48" s="417"/>
      <c r="F48" s="375">
        <v>5278190</v>
      </c>
      <c r="G48" s="370"/>
      <c r="H48" s="412"/>
      <c r="I48" s="379">
        <v>5313081</v>
      </c>
      <c r="J48" s="378"/>
      <c r="K48" s="406"/>
      <c r="L48" s="380">
        <v>5347740</v>
      </c>
      <c r="M48" s="370"/>
      <c r="N48" s="421"/>
      <c r="O48" s="377"/>
      <c r="P48" s="378"/>
      <c r="Q48" s="406"/>
      <c r="R48" s="381"/>
      <c r="S48" s="370"/>
      <c r="T48" s="412"/>
      <c r="U48" s="382"/>
      <c r="V48" s="378"/>
      <c r="W48" s="406"/>
      <c r="X48" s="381"/>
      <c r="Y48" s="370"/>
      <c r="Z48" s="412"/>
      <c r="AA48" s="382"/>
      <c r="AB48" s="378"/>
      <c r="AC48" s="406"/>
      <c r="AD48" s="10"/>
    </row>
    <row r="49" spans="3:30">
      <c r="C49" s="340">
        <v>4539826</v>
      </c>
      <c r="D49" s="341">
        <v>3116</v>
      </c>
      <c r="E49" s="418"/>
      <c r="F49" s="358">
        <v>4556910</v>
      </c>
      <c r="G49" s="357">
        <v>3177</v>
      </c>
      <c r="H49" s="413"/>
      <c r="I49" s="344">
        <v>4570137</v>
      </c>
      <c r="J49" s="341">
        <v>3203</v>
      </c>
      <c r="K49" s="407"/>
      <c r="L49" s="353">
        <v>4575991</v>
      </c>
      <c r="M49" s="357">
        <v>3601</v>
      </c>
      <c r="N49" s="422"/>
      <c r="O49" s="340"/>
      <c r="P49" s="341"/>
      <c r="Q49" s="407"/>
      <c r="R49" s="349"/>
      <c r="S49" s="357"/>
      <c r="T49" s="413"/>
      <c r="U49" s="346"/>
      <c r="V49" s="341"/>
      <c r="W49" s="407"/>
      <c r="X49" s="349"/>
      <c r="Y49" s="357"/>
      <c r="Z49" s="413"/>
      <c r="AA49" s="346"/>
      <c r="AB49" s="341"/>
      <c r="AC49" s="407"/>
      <c r="AD49" s="10"/>
    </row>
    <row r="50" spans="3:30">
      <c r="C50" s="340">
        <v>55370</v>
      </c>
      <c r="D50" s="341">
        <v>1298</v>
      </c>
      <c r="E50" s="418"/>
      <c r="F50" s="358">
        <v>57271</v>
      </c>
      <c r="G50" s="357">
        <v>1308</v>
      </c>
      <c r="H50" s="413"/>
      <c r="I50" s="344">
        <v>56770</v>
      </c>
      <c r="J50" s="341">
        <v>1160</v>
      </c>
      <c r="K50" s="407"/>
      <c r="L50" s="353">
        <v>57479</v>
      </c>
      <c r="M50" s="357">
        <v>1245</v>
      </c>
      <c r="N50" s="422"/>
      <c r="O50" s="340"/>
      <c r="P50" s="341"/>
      <c r="Q50" s="407"/>
      <c r="R50" s="349"/>
      <c r="S50" s="357"/>
      <c r="T50" s="413"/>
      <c r="U50" s="346"/>
      <c r="V50" s="341"/>
      <c r="W50" s="407"/>
      <c r="X50" s="349"/>
      <c r="Y50" s="357"/>
      <c r="Z50" s="413"/>
      <c r="AA50" s="346"/>
      <c r="AB50" s="341"/>
      <c r="AC50" s="407"/>
    </row>
    <row r="51" spans="3:30">
      <c r="C51" s="340">
        <v>204202</v>
      </c>
      <c r="D51" s="341">
        <v>1479</v>
      </c>
      <c r="E51" s="418"/>
      <c r="F51" s="358">
        <v>208315</v>
      </c>
      <c r="G51" s="357">
        <v>1610</v>
      </c>
      <c r="H51" s="413"/>
      <c r="I51" s="344">
        <v>216159</v>
      </c>
      <c r="J51" s="341">
        <v>1447</v>
      </c>
      <c r="K51" s="407"/>
      <c r="L51" s="353">
        <v>222761</v>
      </c>
      <c r="M51" s="357">
        <v>1408</v>
      </c>
      <c r="N51" s="422"/>
      <c r="O51" s="340"/>
      <c r="P51" s="341"/>
      <c r="Q51" s="407"/>
      <c r="R51" s="349"/>
      <c r="S51" s="357"/>
      <c r="T51" s="413"/>
      <c r="U51" s="346"/>
      <c r="V51" s="341"/>
      <c r="W51" s="407"/>
      <c r="X51" s="349"/>
      <c r="Y51" s="357"/>
      <c r="Z51" s="413"/>
      <c r="AA51" s="346"/>
      <c r="AB51" s="341"/>
      <c r="AC51" s="407"/>
    </row>
    <row r="52" spans="3:30">
      <c r="C52" s="340">
        <v>257165</v>
      </c>
      <c r="D52" s="341">
        <v>2154</v>
      </c>
      <c r="E52" s="418"/>
      <c r="F52" s="358">
        <v>264751</v>
      </c>
      <c r="G52" s="357">
        <v>2264</v>
      </c>
      <c r="H52" s="413"/>
      <c r="I52" s="344">
        <v>271953</v>
      </c>
      <c r="J52" s="341">
        <v>2334</v>
      </c>
      <c r="K52" s="407"/>
      <c r="L52" s="353">
        <v>279944</v>
      </c>
      <c r="M52" s="357">
        <v>2072</v>
      </c>
      <c r="N52" s="422"/>
      <c r="O52" s="340"/>
      <c r="P52" s="341"/>
      <c r="Q52" s="407"/>
      <c r="R52" s="349"/>
      <c r="S52" s="357"/>
      <c r="T52" s="413"/>
      <c r="U52" s="346"/>
      <c r="V52" s="341"/>
      <c r="W52" s="407"/>
      <c r="X52" s="349"/>
      <c r="Y52" s="357"/>
      <c r="Z52" s="413"/>
      <c r="AA52" s="346"/>
      <c r="AB52" s="341"/>
      <c r="AC52" s="407"/>
    </row>
    <row r="53" spans="3:30">
      <c r="C53" s="340">
        <v>107609</v>
      </c>
      <c r="D53" s="341">
        <v>2939</v>
      </c>
      <c r="E53" s="418"/>
      <c r="F53" s="358">
        <v>116735</v>
      </c>
      <c r="G53" s="357">
        <v>3628</v>
      </c>
      <c r="H53" s="413"/>
      <c r="I53" s="344">
        <v>124354</v>
      </c>
      <c r="J53" s="341">
        <v>3575</v>
      </c>
      <c r="K53" s="407"/>
      <c r="L53" s="353">
        <v>132033</v>
      </c>
      <c r="M53" s="357">
        <v>3194</v>
      </c>
      <c r="N53" s="422"/>
      <c r="O53" s="340"/>
      <c r="P53" s="341"/>
      <c r="Q53" s="407"/>
      <c r="R53" s="349"/>
      <c r="S53" s="357"/>
      <c r="T53" s="413"/>
      <c r="U53" s="346"/>
      <c r="V53" s="341"/>
      <c r="W53" s="407"/>
      <c r="X53" s="349"/>
      <c r="Y53" s="357"/>
      <c r="Z53" s="413"/>
      <c r="AA53" s="346"/>
      <c r="AB53" s="341"/>
      <c r="AC53" s="407"/>
    </row>
    <row r="54" spans="3:30" ht="15.75" thickBot="1">
      <c r="C54" s="383">
        <v>233716</v>
      </c>
      <c r="D54" s="348">
        <v>187</v>
      </c>
      <c r="E54" s="419"/>
      <c r="F54" s="360">
        <v>242956</v>
      </c>
      <c r="G54" s="361">
        <v>123</v>
      </c>
      <c r="H54" s="414"/>
      <c r="I54" s="363">
        <v>250025</v>
      </c>
      <c r="J54" s="348">
        <v>122</v>
      </c>
      <c r="K54" s="408"/>
      <c r="L54" s="354">
        <v>257144</v>
      </c>
      <c r="M54" s="361">
        <v>230</v>
      </c>
      <c r="N54" s="423"/>
      <c r="O54" s="383"/>
      <c r="P54" s="348"/>
      <c r="Q54" s="408"/>
      <c r="R54" s="384"/>
      <c r="S54" s="361"/>
      <c r="T54" s="414"/>
      <c r="U54" s="367"/>
      <c r="V54" s="348"/>
      <c r="W54" s="408"/>
      <c r="X54" s="384"/>
      <c r="Y54" s="361"/>
      <c r="Z54" s="414"/>
      <c r="AA54" s="367"/>
      <c r="AB54" s="348"/>
      <c r="AC54" s="408"/>
    </row>
    <row r="55" spans="3:30">
      <c r="C55" s="39"/>
      <c r="D55" s="15"/>
      <c r="E55" s="404"/>
      <c r="F55" s="16"/>
      <c r="G55" s="15"/>
      <c r="H55" s="404"/>
      <c r="I55" s="75"/>
      <c r="J55" s="15"/>
      <c r="K55" s="404"/>
      <c r="L55" s="39"/>
      <c r="M55" s="15"/>
      <c r="N55" s="404"/>
      <c r="O55" s="39"/>
      <c r="P55" s="15"/>
      <c r="Q55" s="404"/>
      <c r="R55" s="39"/>
      <c r="S55" s="15"/>
      <c r="V55" s="19"/>
      <c r="X55" s="39"/>
      <c r="Y55" s="15"/>
      <c r="AB55" s="19"/>
    </row>
    <row r="56" spans="3:30" ht="15.75">
      <c r="C56" s="351"/>
      <c r="D56" s="352"/>
      <c r="E56" s="415"/>
      <c r="F56" s="374"/>
      <c r="G56" s="352"/>
      <c r="H56" s="415"/>
      <c r="I56" s="75"/>
      <c r="J56" s="15"/>
      <c r="K56" s="404"/>
      <c r="L56" s="39"/>
      <c r="M56" s="15"/>
      <c r="N56" s="404"/>
      <c r="O56" s="39"/>
      <c r="P56" s="15"/>
      <c r="Q56" s="404"/>
      <c r="R56" s="39"/>
      <c r="S56" s="15"/>
      <c r="T56" s="404"/>
      <c r="U56" s="16"/>
      <c r="V56" s="15"/>
      <c r="W56" s="404"/>
      <c r="X56" s="39"/>
      <c r="Y56" s="15"/>
      <c r="Z56" s="404"/>
      <c r="AA56" s="16"/>
      <c r="AB56" s="15"/>
      <c r="AC56" s="404"/>
    </row>
    <row r="57" spans="3:30" ht="16.5" thickBot="1">
      <c r="C57" s="351"/>
      <c r="D57" s="352"/>
      <c r="E57" s="415"/>
      <c r="F57" s="374"/>
      <c r="G57" s="352"/>
      <c r="H57" s="415"/>
      <c r="I57" s="75"/>
      <c r="J57" s="15"/>
      <c r="K57" s="404"/>
      <c r="L57" s="39"/>
      <c r="M57" s="15"/>
      <c r="N57" s="404"/>
      <c r="O57" s="39"/>
      <c r="P57" s="15"/>
      <c r="Q57" s="404"/>
      <c r="R57" s="39"/>
      <c r="S57" s="15"/>
      <c r="T57" s="404"/>
      <c r="U57" s="16"/>
      <c r="V57" s="15"/>
      <c r="W57" s="404"/>
      <c r="X57" s="39"/>
      <c r="Y57" s="15"/>
      <c r="Z57" s="404"/>
      <c r="AA57" s="16"/>
      <c r="AB57" s="15"/>
      <c r="AC57" s="404"/>
    </row>
    <row r="58" spans="3:30">
      <c r="C58" s="377">
        <v>141244</v>
      </c>
      <c r="D58" s="378"/>
      <c r="E58" s="417"/>
      <c r="F58" s="375">
        <v>142934</v>
      </c>
      <c r="G58" s="370"/>
      <c r="H58" s="412"/>
      <c r="I58" s="379">
        <v>144507</v>
      </c>
      <c r="J58" s="378"/>
      <c r="K58" s="406"/>
      <c r="L58" s="380">
        <v>146063</v>
      </c>
      <c r="M58" s="370"/>
      <c r="N58" s="421"/>
      <c r="O58" s="377"/>
      <c r="P58" s="378"/>
      <c r="Q58" s="406"/>
      <c r="R58" s="381"/>
      <c r="S58" s="370"/>
      <c r="T58" s="412"/>
      <c r="U58" s="382"/>
      <c r="V58" s="378"/>
      <c r="W58" s="406"/>
      <c r="X58" s="381"/>
      <c r="Y58" s="370"/>
      <c r="Z58" s="412"/>
      <c r="AA58" s="382"/>
      <c r="AB58" s="378"/>
      <c r="AC58" s="406"/>
    </row>
    <row r="59" spans="3:30">
      <c r="C59" s="340">
        <v>123567</v>
      </c>
      <c r="D59" s="341">
        <v>372</v>
      </c>
      <c r="E59" s="418"/>
      <c r="F59" s="358">
        <v>124542</v>
      </c>
      <c r="G59" s="357">
        <v>342</v>
      </c>
      <c r="H59" s="413"/>
      <c r="I59" s="344">
        <v>125401</v>
      </c>
      <c r="J59" s="341">
        <v>313</v>
      </c>
      <c r="K59" s="407"/>
      <c r="L59" s="353"/>
      <c r="M59" s="357"/>
      <c r="N59" s="422"/>
      <c r="O59" s="340"/>
      <c r="P59" s="341"/>
      <c r="Q59" s="407"/>
      <c r="R59" s="349"/>
      <c r="S59" s="357"/>
      <c r="T59" s="413"/>
      <c r="U59" s="346"/>
      <c r="V59" s="341"/>
      <c r="W59" s="407"/>
      <c r="X59" s="349"/>
      <c r="Y59" s="357"/>
      <c r="Z59" s="413"/>
      <c r="AA59" s="346"/>
      <c r="AB59" s="341"/>
      <c r="AC59" s="407"/>
    </row>
    <row r="60" spans="3:30">
      <c r="C60" s="340">
        <v>301</v>
      </c>
      <c r="D60" s="341">
        <v>110</v>
      </c>
      <c r="E60" s="418"/>
      <c r="F60" s="358">
        <v>295</v>
      </c>
      <c r="G60" s="357">
        <v>147</v>
      </c>
      <c r="H60" s="413"/>
      <c r="I60" s="344">
        <v>268</v>
      </c>
      <c r="J60" s="341">
        <v>110</v>
      </c>
      <c r="K60" s="407"/>
      <c r="L60" s="353"/>
      <c r="M60" s="357"/>
      <c r="N60" s="422"/>
      <c r="O60" s="340"/>
      <c r="P60" s="341"/>
      <c r="Q60" s="407"/>
      <c r="R60" s="349"/>
      <c r="S60" s="357"/>
      <c r="T60" s="413"/>
      <c r="U60" s="346"/>
      <c r="V60" s="341"/>
      <c r="W60" s="407"/>
      <c r="X60" s="349"/>
      <c r="Y60" s="357"/>
      <c r="Z60" s="413"/>
      <c r="AA60" s="346"/>
      <c r="AB60" s="341"/>
      <c r="AC60" s="407"/>
    </row>
    <row r="61" spans="3:30">
      <c r="C61" s="340">
        <v>7516</v>
      </c>
      <c r="D61" s="341">
        <v>268</v>
      </c>
      <c r="E61" s="418"/>
      <c r="F61" s="358">
        <v>7497</v>
      </c>
      <c r="G61" s="357">
        <v>331</v>
      </c>
      <c r="H61" s="413"/>
      <c r="I61" s="344">
        <v>7786</v>
      </c>
      <c r="J61" s="341">
        <v>355</v>
      </c>
      <c r="K61" s="407"/>
      <c r="L61" s="353"/>
      <c r="M61" s="357"/>
      <c r="N61" s="422"/>
      <c r="O61" s="340"/>
      <c r="P61" s="341"/>
      <c r="Q61" s="407"/>
      <c r="R61" s="349"/>
      <c r="S61" s="357"/>
      <c r="T61" s="413"/>
      <c r="U61" s="346"/>
      <c r="V61" s="341"/>
      <c r="W61" s="407"/>
      <c r="X61" s="349"/>
      <c r="Y61" s="357"/>
      <c r="Z61" s="413"/>
      <c r="AA61" s="346"/>
      <c r="AB61" s="341"/>
      <c r="AC61" s="407"/>
    </row>
    <row r="62" spans="3:30">
      <c r="C62" s="340">
        <v>6397</v>
      </c>
      <c r="D62" s="341">
        <v>274</v>
      </c>
      <c r="E62" s="418"/>
      <c r="F62" s="358">
        <v>6587</v>
      </c>
      <c r="G62" s="357">
        <v>304</v>
      </c>
      <c r="H62" s="413"/>
      <c r="I62" s="344">
        <v>6829</v>
      </c>
      <c r="J62" s="341">
        <v>324</v>
      </c>
      <c r="K62" s="407"/>
      <c r="L62" s="353"/>
      <c r="M62" s="357"/>
      <c r="N62" s="422"/>
      <c r="O62" s="340"/>
      <c r="P62" s="341"/>
      <c r="Q62" s="407"/>
      <c r="R62" s="349"/>
      <c r="S62" s="357"/>
      <c r="T62" s="413"/>
      <c r="U62" s="346"/>
      <c r="V62" s="341"/>
      <c r="W62" s="407"/>
      <c r="X62" s="349"/>
      <c r="Y62" s="357"/>
      <c r="Z62" s="413"/>
      <c r="AA62" s="346"/>
      <c r="AB62" s="341"/>
      <c r="AC62" s="407"/>
    </row>
    <row r="63" spans="3:30">
      <c r="C63" s="340">
        <v>2397</v>
      </c>
      <c r="D63" s="341">
        <v>380</v>
      </c>
      <c r="E63" s="418"/>
      <c r="F63" s="358">
        <v>2907</v>
      </c>
      <c r="G63" s="357">
        <v>399</v>
      </c>
      <c r="H63" s="413"/>
      <c r="I63" s="344">
        <v>3173</v>
      </c>
      <c r="J63" s="341">
        <v>492</v>
      </c>
      <c r="K63" s="407"/>
      <c r="L63" s="353"/>
      <c r="M63" s="357"/>
      <c r="N63" s="422"/>
      <c r="O63" s="340"/>
      <c r="P63" s="341"/>
      <c r="Q63" s="407"/>
      <c r="R63" s="349"/>
      <c r="S63" s="357"/>
      <c r="T63" s="413"/>
      <c r="U63" s="346"/>
      <c r="V63" s="341"/>
      <c r="W63" s="407"/>
      <c r="X63" s="349"/>
      <c r="Y63" s="357"/>
      <c r="Z63" s="413"/>
      <c r="AA63" s="346"/>
      <c r="AB63" s="341"/>
      <c r="AC63" s="407"/>
    </row>
    <row r="64" spans="3:30" ht="15.75" thickBot="1">
      <c r="C64" s="383">
        <v>5624</v>
      </c>
      <c r="D64" s="348" t="s">
        <v>296</v>
      </c>
      <c r="E64" s="419"/>
      <c r="F64" s="360">
        <v>5862</v>
      </c>
      <c r="G64" s="361" t="s">
        <v>296</v>
      </c>
      <c r="H64" s="414"/>
      <c r="I64" s="363">
        <v>6071</v>
      </c>
      <c r="J64" s="348" t="s">
        <v>297</v>
      </c>
      <c r="K64" s="408"/>
      <c r="L64" s="354">
        <v>6350</v>
      </c>
      <c r="M64" s="361" t="s">
        <v>296</v>
      </c>
      <c r="N64" s="423"/>
      <c r="O64" s="383"/>
      <c r="P64" s="348"/>
      <c r="Q64" s="408"/>
      <c r="R64" s="384"/>
      <c r="S64" s="361"/>
      <c r="T64" s="414"/>
      <c r="U64" s="367"/>
      <c r="V64" s="348"/>
      <c r="W64" s="408"/>
      <c r="X64" s="384"/>
      <c r="Y64" s="361"/>
      <c r="Z64" s="414"/>
      <c r="AA64" s="367"/>
      <c r="AB64" s="348"/>
      <c r="AC64" s="408"/>
    </row>
    <row r="65" spans="3:29">
      <c r="C65" s="75"/>
      <c r="D65" s="15"/>
      <c r="E65" s="404"/>
      <c r="F65" s="16"/>
      <c r="G65" s="15"/>
      <c r="H65" s="404"/>
      <c r="I65" s="75">
        <f>SUM(I59:I64)</f>
        <v>149528</v>
      </c>
      <c r="J65" s="15"/>
      <c r="K65" s="404"/>
      <c r="L65" s="39"/>
      <c r="M65" s="15"/>
      <c r="N65" s="404"/>
      <c r="O65" s="39"/>
      <c r="P65" s="15"/>
      <c r="Q65" s="404"/>
      <c r="R65" s="39"/>
      <c r="S65" s="15"/>
      <c r="V65" s="19"/>
      <c r="X65" s="39"/>
      <c r="Y65" s="15"/>
      <c r="AB65" s="19"/>
    </row>
    <row r="66" spans="3:29" ht="15.75">
      <c r="C66" s="75"/>
      <c r="D66" s="352"/>
      <c r="E66" s="415"/>
      <c r="F66" s="374"/>
      <c r="G66" s="352"/>
      <c r="H66" s="415"/>
      <c r="I66" s="39"/>
      <c r="J66" s="15"/>
      <c r="K66" s="404"/>
      <c r="L66" s="39"/>
      <c r="M66" s="15"/>
      <c r="N66" s="404"/>
      <c r="O66" s="39"/>
      <c r="P66" s="15"/>
      <c r="Q66" s="404"/>
      <c r="R66" s="39"/>
      <c r="S66" s="15"/>
      <c r="T66" s="404"/>
      <c r="U66" s="16"/>
      <c r="V66" s="15"/>
      <c r="W66" s="404"/>
      <c r="X66" s="39"/>
      <c r="Y66" s="15"/>
      <c r="Z66" s="404"/>
      <c r="AA66" s="16"/>
      <c r="AB66" s="15"/>
      <c r="AC66" s="404"/>
    </row>
    <row r="67" spans="3:29" ht="16.5" thickBot="1">
      <c r="C67" s="75"/>
      <c r="D67" s="352"/>
      <c r="E67" s="415"/>
      <c r="F67" s="374"/>
      <c r="G67" s="352"/>
      <c r="H67" s="415"/>
      <c r="I67" s="39"/>
      <c r="J67" s="15"/>
      <c r="K67" s="404"/>
      <c r="L67" s="39"/>
      <c r="M67" s="15"/>
      <c r="N67" s="404"/>
      <c r="O67" s="39"/>
      <c r="P67" s="15"/>
      <c r="Q67" s="404"/>
      <c r="R67" s="39"/>
      <c r="S67" s="15"/>
      <c r="T67" s="404"/>
      <c r="U67" s="16"/>
      <c r="V67" s="15"/>
      <c r="W67" s="404"/>
      <c r="X67" s="39"/>
      <c r="Y67" s="15"/>
      <c r="Z67" s="404"/>
      <c r="AA67" s="16"/>
      <c r="AB67" s="15"/>
      <c r="AC67" s="404"/>
    </row>
    <row r="68" spans="3:29">
      <c r="C68" s="377">
        <v>104201</v>
      </c>
      <c r="D68" s="378">
        <v>56</v>
      </c>
      <c r="E68" s="417">
        <f>C68/$C$26</f>
        <v>0.97417798678047551</v>
      </c>
      <c r="F68" s="375">
        <v>105576</v>
      </c>
      <c r="G68" s="370"/>
      <c r="H68" s="412"/>
      <c r="I68" s="382">
        <v>106903</v>
      </c>
      <c r="J68" s="378"/>
      <c r="K68" s="406"/>
      <c r="L68" s="385">
        <v>108179</v>
      </c>
      <c r="M68" s="370"/>
      <c r="N68" s="421"/>
      <c r="O68" s="386"/>
      <c r="P68" s="387"/>
      <c r="Q68" s="406"/>
      <c r="R68" s="375"/>
      <c r="S68" s="370"/>
      <c r="T68" s="424"/>
      <c r="U68" s="388"/>
      <c r="V68" s="389"/>
      <c r="W68" s="427"/>
      <c r="X68" s="375"/>
      <c r="Y68" s="370"/>
      <c r="Z68" s="424"/>
      <c r="AA68" s="388"/>
      <c r="AB68" s="389"/>
      <c r="AC68" s="427"/>
    </row>
    <row r="69" spans="3:29">
      <c r="C69" s="340">
        <v>83629</v>
      </c>
      <c r="D69" s="341">
        <v>306</v>
      </c>
      <c r="E69" s="418">
        <f t="shared" ref="E69:E75" si="0">C69/$C$26</f>
        <v>0.78184979852846315</v>
      </c>
      <c r="F69" s="358"/>
      <c r="G69" s="357"/>
      <c r="H69" s="413"/>
      <c r="I69" s="346"/>
      <c r="J69" s="341"/>
      <c r="K69" s="407"/>
      <c r="L69" s="356"/>
      <c r="M69" s="357"/>
      <c r="N69" s="422"/>
      <c r="O69" s="342"/>
      <c r="P69" s="364"/>
      <c r="Q69" s="407"/>
      <c r="R69" s="358"/>
      <c r="S69" s="357"/>
      <c r="T69" s="425"/>
      <c r="U69" s="366"/>
      <c r="V69" s="369"/>
      <c r="W69" s="428"/>
      <c r="X69" s="358"/>
      <c r="Y69" s="357"/>
      <c r="Z69" s="425"/>
      <c r="AA69" s="366"/>
      <c r="AB69" s="369"/>
      <c r="AC69" s="428"/>
    </row>
    <row r="70" spans="3:29">
      <c r="C70" s="340">
        <v>281</v>
      </c>
      <c r="D70" s="341">
        <v>110</v>
      </c>
      <c r="E70" s="418">
        <f t="shared" si="0"/>
        <v>2.6270766526742891E-3</v>
      </c>
      <c r="F70" s="358"/>
      <c r="G70" s="357"/>
      <c r="H70" s="413"/>
      <c r="I70" s="346"/>
      <c r="J70" s="341"/>
      <c r="K70" s="407"/>
      <c r="L70" s="356"/>
      <c r="M70" s="357"/>
      <c r="N70" s="422"/>
      <c r="O70" s="342"/>
      <c r="P70" s="364"/>
      <c r="Q70" s="407"/>
      <c r="R70" s="358"/>
      <c r="S70" s="357"/>
      <c r="T70" s="425"/>
      <c r="U70" s="366"/>
      <c r="V70" s="369"/>
      <c r="W70" s="428"/>
      <c r="X70" s="358"/>
      <c r="Y70" s="357"/>
      <c r="Z70" s="425"/>
      <c r="AA70" s="366"/>
      <c r="AB70" s="369"/>
      <c r="AC70" s="428"/>
    </row>
    <row r="71" spans="3:29">
      <c r="C71" s="340">
        <v>6860</v>
      </c>
      <c r="D71" s="341">
        <v>358</v>
      </c>
      <c r="E71" s="418">
        <f t="shared" si="0"/>
        <v>6.4134326823294036E-2</v>
      </c>
      <c r="F71" s="358"/>
      <c r="G71" s="357"/>
      <c r="H71" s="413"/>
      <c r="I71" s="346"/>
      <c r="J71" s="341"/>
      <c r="K71" s="407"/>
      <c r="L71" s="356"/>
      <c r="M71" s="357"/>
      <c r="N71" s="422"/>
      <c r="O71" s="342"/>
      <c r="P71" s="364"/>
      <c r="Q71" s="407"/>
      <c r="R71" s="358"/>
      <c r="S71" s="357"/>
      <c r="T71" s="425"/>
      <c r="U71" s="366"/>
      <c r="V71" s="369"/>
      <c r="W71" s="428"/>
      <c r="X71" s="358"/>
      <c r="Y71" s="357"/>
      <c r="Z71" s="425"/>
      <c r="AA71" s="366"/>
      <c r="AB71" s="369"/>
      <c r="AC71" s="428"/>
    </row>
    <row r="72" spans="3:29">
      <c r="C72" s="340">
        <v>6175</v>
      </c>
      <c r="D72" s="341">
        <v>306</v>
      </c>
      <c r="E72" s="418">
        <f t="shared" si="0"/>
        <v>5.7730243168198352E-2</v>
      </c>
      <c r="F72" s="358"/>
      <c r="G72" s="357"/>
      <c r="H72" s="413"/>
      <c r="I72" s="346"/>
      <c r="J72" s="341"/>
      <c r="K72" s="407"/>
      <c r="L72" s="356"/>
      <c r="M72" s="357"/>
      <c r="N72" s="422"/>
      <c r="O72" s="342"/>
      <c r="P72" s="364"/>
      <c r="Q72" s="407"/>
      <c r="R72" s="358"/>
      <c r="S72" s="357"/>
      <c r="T72" s="425"/>
      <c r="U72" s="366"/>
      <c r="V72" s="369"/>
      <c r="W72" s="428"/>
      <c r="X72" s="358"/>
      <c r="Y72" s="357"/>
      <c r="Z72" s="425"/>
      <c r="AA72" s="366"/>
      <c r="AB72" s="369"/>
      <c r="AC72" s="428"/>
    </row>
    <row r="73" spans="3:29">
      <c r="C73" s="340">
        <v>922</v>
      </c>
      <c r="D73" s="341">
        <v>355</v>
      </c>
      <c r="E73" s="418">
        <f t="shared" si="0"/>
        <v>8.6198031094864586E-3</v>
      </c>
      <c r="F73" s="358"/>
      <c r="G73" s="357"/>
      <c r="H73" s="413"/>
      <c r="I73" s="346"/>
      <c r="J73" s="341"/>
      <c r="K73" s="407" t="s">
        <v>6</v>
      </c>
      <c r="L73" s="356"/>
      <c r="M73" s="357"/>
      <c r="N73" s="422"/>
      <c r="O73" s="342"/>
      <c r="P73" s="364"/>
      <c r="Q73" s="407"/>
      <c r="R73" s="358"/>
      <c r="S73" s="357"/>
      <c r="T73" s="425"/>
      <c r="U73" s="366"/>
      <c r="V73" s="369"/>
      <c r="W73" s="428"/>
      <c r="X73" s="358"/>
      <c r="Y73" s="357"/>
      <c r="Z73" s="425"/>
      <c r="AA73" s="366"/>
      <c r="AB73" s="369"/>
      <c r="AC73" s="428"/>
    </row>
    <row r="74" spans="3:29">
      <c r="C74" s="340">
        <v>2150</v>
      </c>
      <c r="D74" s="341">
        <v>362</v>
      </c>
      <c r="E74" s="418">
        <f t="shared" si="0"/>
        <v>2.0100408552490113E-2</v>
      </c>
      <c r="F74" s="358"/>
      <c r="G74" s="357"/>
      <c r="H74" s="413"/>
      <c r="I74" s="346"/>
      <c r="J74" s="341"/>
      <c r="K74" s="407"/>
      <c r="L74" s="356"/>
      <c r="M74" s="357"/>
      <c r="N74" s="422"/>
      <c r="O74" s="342"/>
      <c r="P74" s="364"/>
      <c r="Q74" s="407"/>
      <c r="R74" s="358"/>
      <c r="S74" s="357"/>
      <c r="T74" s="425"/>
      <c r="U74" s="366"/>
      <c r="V74" s="369"/>
      <c r="W74" s="428"/>
      <c r="X74" s="358"/>
      <c r="Y74" s="357"/>
      <c r="Z74" s="425"/>
      <c r="AA74" s="366"/>
      <c r="AB74" s="369"/>
      <c r="AC74" s="428"/>
    </row>
    <row r="75" spans="3:29" ht="15.75" thickBot="1">
      <c r="C75" s="383">
        <v>5147</v>
      </c>
      <c r="D75" s="348">
        <v>180</v>
      </c>
      <c r="E75" s="419">
        <f t="shared" si="0"/>
        <v>4.8119443171937962E-2</v>
      </c>
      <c r="F75" s="360">
        <v>5399</v>
      </c>
      <c r="G75" s="361">
        <v>201</v>
      </c>
      <c r="H75" s="414"/>
      <c r="I75" s="367">
        <v>5551</v>
      </c>
      <c r="J75" s="348">
        <v>166</v>
      </c>
      <c r="K75" s="408"/>
      <c r="L75" s="390">
        <v>5734</v>
      </c>
      <c r="M75" s="361">
        <v>197</v>
      </c>
      <c r="N75" s="423"/>
      <c r="O75" s="343"/>
      <c r="P75" s="391"/>
      <c r="Q75" s="408"/>
      <c r="R75" s="360"/>
      <c r="S75" s="361"/>
      <c r="T75" s="426"/>
      <c r="U75" s="365"/>
      <c r="V75" s="368"/>
      <c r="W75" s="429"/>
      <c r="X75" s="360"/>
      <c r="Y75" s="361"/>
      <c r="Z75" s="426"/>
      <c r="AA75" s="365"/>
      <c r="AB75" s="368"/>
      <c r="AC75" s="429"/>
    </row>
    <row r="76" spans="3:29">
      <c r="C76" s="39"/>
      <c r="D76" s="15"/>
      <c r="E76" s="404"/>
      <c r="F76" s="16"/>
      <c r="G76" s="15"/>
      <c r="H76" s="404"/>
      <c r="I76" s="39"/>
      <c r="J76" s="15"/>
      <c r="K76" s="404"/>
      <c r="L76" s="39"/>
      <c r="M76" s="15"/>
      <c r="N76" s="404"/>
      <c r="O76" s="39"/>
      <c r="P76" s="15"/>
      <c r="Q76" s="404"/>
      <c r="R76" s="39"/>
      <c r="S76" s="15"/>
      <c r="V76" s="19"/>
      <c r="X76" s="39"/>
      <c r="Y76" s="15"/>
      <c r="AB76" s="19"/>
    </row>
    <row r="77" spans="3:29">
      <c r="C77" s="39"/>
      <c r="D77" s="15"/>
      <c r="E77" s="404"/>
      <c r="F77" s="16"/>
      <c r="G77" s="15"/>
      <c r="H77" s="404"/>
      <c r="I77" s="39"/>
      <c r="J77" s="15"/>
      <c r="K77" s="404"/>
      <c r="L77" s="39"/>
      <c r="M77" s="15"/>
      <c r="N77" s="404"/>
      <c r="O77" s="39"/>
      <c r="P77" s="15"/>
      <c r="Q77" s="404"/>
      <c r="R77" s="39"/>
      <c r="S77" s="15"/>
      <c r="V77" s="19"/>
      <c r="X77" s="39"/>
      <c r="Y77" s="15"/>
      <c r="AB77" s="19"/>
    </row>
    <row r="78" spans="3:29" ht="15.75" thickBot="1">
      <c r="C78" s="39"/>
      <c r="D78" s="15"/>
      <c r="E78" s="404"/>
      <c r="F78" s="16"/>
      <c r="G78" s="15"/>
      <c r="H78" s="404"/>
      <c r="I78" s="39"/>
      <c r="J78" s="15"/>
      <c r="K78" s="404"/>
      <c r="L78" s="39"/>
      <c r="M78" s="15"/>
      <c r="N78" s="404"/>
      <c r="O78" s="39"/>
      <c r="P78" s="15"/>
      <c r="Q78" s="404"/>
      <c r="R78" s="39"/>
      <c r="S78" s="15"/>
      <c r="V78" s="19"/>
      <c r="X78" s="39"/>
      <c r="Y78" s="15"/>
      <c r="AB78" s="19"/>
    </row>
    <row r="79" spans="3:29">
      <c r="C79" s="386">
        <v>3080</v>
      </c>
      <c r="D79" s="378" t="s">
        <v>126</v>
      </c>
      <c r="E79" s="417">
        <v>1</v>
      </c>
      <c r="F79" s="375"/>
      <c r="G79" s="370"/>
      <c r="H79" s="412"/>
      <c r="I79" s="392" t="s">
        <v>126</v>
      </c>
      <c r="J79" s="378" t="s">
        <v>126</v>
      </c>
      <c r="K79" s="406" t="s">
        <v>126</v>
      </c>
      <c r="L79" s="393" t="s">
        <v>126</v>
      </c>
      <c r="M79" s="370" t="s">
        <v>126</v>
      </c>
      <c r="N79" s="421" t="s">
        <v>126</v>
      </c>
      <c r="O79" s="386"/>
      <c r="P79" s="378"/>
      <c r="Q79" s="406"/>
      <c r="R79" s="394"/>
      <c r="S79" s="370"/>
      <c r="T79" s="424"/>
      <c r="U79" s="388"/>
      <c r="V79" s="389"/>
      <c r="W79" s="427"/>
      <c r="X79" s="394"/>
      <c r="Y79" s="370"/>
      <c r="Z79" s="424"/>
      <c r="AA79" s="388"/>
      <c r="AB79" s="389"/>
      <c r="AC79" s="427"/>
    </row>
    <row r="80" spans="3:29">
      <c r="C80" s="342">
        <v>2370</v>
      </c>
      <c r="D80" s="341" t="s">
        <v>126</v>
      </c>
      <c r="E80" s="418">
        <v>0.76948051948051943</v>
      </c>
      <c r="F80" s="358"/>
      <c r="G80" s="371"/>
      <c r="H80" s="413"/>
      <c r="I80" s="345" t="s">
        <v>126</v>
      </c>
      <c r="J80" s="341" t="s">
        <v>126</v>
      </c>
      <c r="K80" s="407" t="s">
        <v>126</v>
      </c>
      <c r="L80" s="350" t="s">
        <v>126</v>
      </c>
      <c r="M80" s="357" t="s">
        <v>126</v>
      </c>
      <c r="N80" s="422" t="s">
        <v>126</v>
      </c>
      <c r="O80" s="342"/>
      <c r="P80" s="341"/>
      <c r="Q80" s="407"/>
      <c r="R80" s="359"/>
      <c r="S80" s="357"/>
      <c r="T80" s="413"/>
      <c r="U80" s="346"/>
      <c r="V80" s="341"/>
      <c r="W80" s="407"/>
      <c r="X80" s="359"/>
      <c r="Y80" s="357"/>
      <c r="Z80" s="413"/>
      <c r="AA80" s="346"/>
      <c r="AB80" s="341"/>
      <c r="AC80" s="407"/>
    </row>
    <row r="81" spans="3:29">
      <c r="C81" s="342">
        <v>15</v>
      </c>
      <c r="D81" s="341" t="s">
        <v>126</v>
      </c>
      <c r="E81" s="418">
        <v>4.87012987012987E-3</v>
      </c>
      <c r="F81" s="358"/>
      <c r="G81" s="371"/>
      <c r="H81" s="413"/>
      <c r="I81" s="345" t="s">
        <v>126</v>
      </c>
      <c r="J81" s="341" t="s">
        <v>126</v>
      </c>
      <c r="K81" s="407" t="s">
        <v>126</v>
      </c>
      <c r="L81" s="350" t="s">
        <v>126</v>
      </c>
      <c r="M81" s="357" t="s">
        <v>126</v>
      </c>
      <c r="N81" s="422" t="s">
        <v>126</v>
      </c>
      <c r="O81" s="342"/>
      <c r="P81" s="341"/>
      <c r="Q81" s="407"/>
      <c r="R81" s="359"/>
      <c r="S81" s="357"/>
      <c r="T81" s="413"/>
      <c r="U81" s="346"/>
      <c r="V81" s="341"/>
      <c r="W81" s="407"/>
      <c r="X81" s="359"/>
      <c r="Y81" s="357"/>
      <c r="Z81" s="413"/>
      <c r="AA81" s="346"/>
      <c r="AB81" s="341"/>
      <c r="AC81" s="407"/>
    </row>
    <row r="82" spans="3:29">
      <c r="C82" s="342">
        <v>193</v>
      </c>
      <c r="D82" s="341" t="s">
        <v>126</v>
      </c>
      <c r="E82" s="418">
        <v>6.2662337662337655E-2</v>
      </c>
      <c r="F82" s="358"/>
      <c r="G82" s="371"/>
      <c r="H82" s="413"/>
      <c r="I82" s="345" t="s">
        <v>126</v>
      </c>
      <c r="J82" s="341" t="s">
        <v>126</v>
      </c>
      <c r="K82" s="407" t="s">
        <v>126</v>
      </c>
      <c r="L82" s="350" t="s">
        <v>126</v>
      </c>
      <c r="M82" s="357" t="s">
        <v>126</v>
      </c>
      <c r="N82" s="422" t="s">
        <v>126</v>
      </c>
      <c r="O82" s="342"/>
      <c r="P82" s="341"/>
      <c r="Q82" s="407"/>
      <c r="R82" s="359"/>
      <c r="S82" s="357"/>
      <c r="T82" s="413"/>
      <c r="U82" s="346"/>
      <c r="V82" s="341"/>
      <c r="W82" s="407"/>
      <c r="X82" s="359"/>
      <c r="Y82" s="357"/>
      <c r="Z82" s="413"/>
      <c r="AA82" s="346"/>
      <c r="AB82" s="341"/>
      <c r="AC82" s="407"/>
    </row>
    <row r="83" spans="3:29">
      <c r="C83" s="342">
        <v>259</v>
      </c>
      <c r="D83" s="341" t="s">
        <v>126</v>
      </c>
      <c r="E83" s="418">
        <v>8.4090909090909091E-2</v>
      </c>
      <c r="F83" s="358"/>
      <c r="G83" s="371"/>
      <c r="H83" s="413"/>
      <c r="I83" s="345" t="s">
        <v>126</v>
      </c>
      <c r="J83" s="341" t="s">
        <v>126</v>
      </c>
      <c r="K83" s="407" t="s">
        <v>126</v>
      </c>
      <c r="L83" s="350" t="s">
        <v>126</v>
      </c>
      <c r="M83" s="357" t="s">
        <v>126</v>
      </c>
      <c r="N83" s="422" t="s">
        <v>126</v>
      </c>
      <c r="O83" s="342"/>
      <c r="P83" s="341"/>
      <c r="Q83" s="407"/>
      <c r="R83" s="359"/>
      <c r="S83" s="357"/>
      <c r="T83" s="413"/>
      <c r="U83" s="346"/>
      <c r="V83" s="341"/>
      <c r="W83" s="407"/>
      <c r="X83" s="359"/>
      <c r="Y83" s="357"/>
      <c r="Z83" s="413"/>
      <c r="AA83" s="346"/>
      <c r="AB83" s="341"/>
      <c r="AC83" s="407"/>
    </row>
    <row r="84" spans="3:29">
      <c r="C84" s="342">
        <v>65</v>
      </c>
      <c r="D84" s="341" t="s">
        <v>126</v>
      </c>
      <c r="E84" s="418">
        <v>2.1103896103896104E-2</v>
      </c>
      <c r="F84" s="358"/>
      <c r="G84" s="371"/>
      <c r="H84" s="413"/>
      <c r="I84" s="345" t="s">
        <v>126</v>
      </c>
      <c r="J84" s="341" t="s">
        <v>126</v>
      </c>
      <c r="K84" s="407" t="s">
        <v>126</v>
      </c>
      <c r="L84" s="350" t="s">
        <v>126</v>
      </c>
      <c r="M84" s="357" t="s">
        <v>126</v>
      </c>
      <c r="N84" s="422" t="s">
        <v>126</v>
      </c>
      <c r="O84" s="342"/>
      <c r="P84" s="341"/>
      <c r="Q84" s="407"/>
      <c r="R84" s="359"/>
      <c r="S84" s="357"/>
      <c r="T84" s="413"/>
      <c r="U84" s="346"/>
      <c r="V84" s="341"/>
      <c r="W84" s="407"/>
      <c r="X84" s="359"/>
      <c r="Y84" s="357"/>
      <c r="Z84" s="413"/>
      <c r="AA84" s="346"/>
      <c r="AB84" s="341"/>
      <c r="AC84" s="407"/>
    </row>
    <row r="85" spans="3:29">
      <c r="C85" s="342">
        <v>84</v>
      </c>
      <c r="D85" s="341" t="s">
        <v>126</v>
      </c>
      <c r="E85" s="418">
        <v>2.7272727272727271E-2</v>
      </c>
      <c r="F85" s="358"/>
      <c r="G85" s="371"/>
      <c r="H85" s="413"/>
      <c r="I85" s="345" t="s">
        <v>126</v>
      </c>
      <c r="J85" s="341" t="s">
        <v>126</v>
      </c>
      <c r="K85" s="407" t="s">
        <v>126</v>
      </c>
      <c r="L85" s="350" t="s">
        <v>126</v>
      </c>
      <c r="M85" s="357" t="s">
        <v>126</v>
      </c>
      <c r="N85" s="422" t="s">
        <v>126</v>
      </c>
      <c r="O85" s="342"/>
      <c r="P85" s="341"/>
      <c r="Q85" s="407"/>
      <c r="R85" s="359"/>
      <c r="S85" s="357"/>
      <c r="T85" s="413"/>
      <c r="U85" s="346"/>
      <c r="V85" s="341"/>
      <c r="W85" s="407"/>
      <c r="X85" s="359"/>
      <c r="Y85" s="357"/>
      <c r="Z85" s="413"/>
      <c r="AA85" s="346"/>
      <c r="AB85" s="341"/>
      <c r="AC85" s="407"/>
    </row>
    <row r="86" spans="3:29" ht="15.75" thickBot="1">
      <c r="C86" s="343">
        <v>169</v>
      </c>
      <c r="D86" s="348" t="s">
        <v>126</v>
      </c>
      <c r="E86" s="419">
        <v>5.4870129870129868E-2</v>
      </c>
      <c r="F86" s="360"/>
      <c r="G86" s="372"/>
      <c r="H86" s="414"/>
      <c r="I86" s="347" t="s">
        <v>126</v>
      </c>
      <c r="J86" s="348" t="s">
        <v>126</v>
      </c>
      <c r="K86" s="408" t="s">
        <v>126</v>
      </c>
      <c r="L86" s="355" t="s">
        <v>126</v>
      </c>
      <c r="M86" s="361" t="s">
        <v>126</v>
      </c>
      <c r="N86" s="423" t="s">
        <v>126</v>
      </c>
      <c r="O86" s="343"/>
      <c r="P86" s="348"/>
      <c r="Q86" s="408"/>
      <c r="R86" s="362"/>
      <c r="S86" s="361"/>
      <c r="T86" s="414"/>
      <c r="U86" s="367"/>
      <c r="V86" s="348"/>
      <c r="W86" s="408"/>
      <c r="X86" s="362"/>
      <c r="Y86" s="361"/>
      <c r="Z86" s="414"/>
      <c r="AA86" s="367"/>
      <c r="AB86" s="348"/>
      <c r="AC86" s="408"/>
    </row>
  </sheetData>
  <mergeCells count="10">
    <mergeCell ref="AA3:AC3"/>
    <mergeCell ref="U3:W3"/>
    <mergeCell ref="B35:K37"/>
    <mergeCell ref="X3:Z3"/>
    <mergeCell ref="C3:E3"/>
    <mergeCell ref="F3:H3"/>
    <mergeCell ref="I3:K3"/>
    <mergeCell ref="L3:N3"/>
    <mergeCell ref="O3:Q3"/>
    <mergeCell ref="R3:T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X50"/>
  <sheetViews>
    <sheetView zoomScaleNormal="100" workbookViewId="0">
      <selection activeCell="AB9" sqref="AB9"/>
    </sheetView>
  </sheetViews>
  <sheetFormatPr defaultColWidth="8.85546875" defaultRowHeight="15"/>
  <cols>
    <col min="1" max="1" width="31.85546875" customWidth="1"/>
    <col min="2" max="2" width="11.42578125" customWidth="1"/>
    <col min="3" max="3" width="13.42578125" style="19" bestFit="1" customWidth="1"/>
    <col min="5" max="5" width="11.140625" bestFit="1" customWidth="1"/>
    <col min="6" max="6" width="14.140625" style="19" bestFit="1" customWidth="1"/>
    <col min="8" max="8" width="10.85546875" customWidth="1"/>
    <col min="9" max="9" width="14.140625" style="19" bestFit="1" customWidth="1"/>
    <col min="11" max="11" width="10.85546875" customWidth="1"/>
    <col min="12" max="12" width="14.140625" customWidth="1"/>
    <col min="14" max="14" width="10" bestFit="1" customWidth="1"/>
    <col min="17" max="17" width="13" bestFit="1" customWidth="1"/>
    <col min="20" max="20" width="13" bestFit="1" customWidth="1"/>
    <col min="23" max="23" width="40.7109375" customWidth="1"/>
  </cols>
  <sheetData>
    <row r="1" spans="1:24" ht="18.75">
      <c r="A1" s="23" t="s">
        <v>123</v>
      </c>
      <c r="F1" s="19" t="s">
        <v>6</v>
      </c>
    </row>
    <row r="2" spans="1:24" ht="15.75" thickBot="1">
      <c r="A2" t="s">
        <v>124</v>
      </c>
    </row>
    <row r="3" spans="1:24" ht="19.350000000000001" customHeight="1" thickBot="1">
      <c r="B3" s="870">
        <v>2012</v>
      </c>
      <c r="C3" s="871"/>
      <c r="D3" s="872"/>
      <c r="E3" s="870">
        <v>2013</v>
      </c>
      <c r="F3" s="871">
        <v>2013</v>
      </c>
      <c r="G3" s="872">
        <v>2013</v>
      </c>
      <c r="H3" s="870">
        <v>2014</v>
      </c>
      <c r="I3" s="871">
        <v>2014</v>
      </c>
      <c r="J3" s="872">
        <v>2014</v>
      </c>
      <c r="K3" s="870">
        <v>2015</v>
      </c>
      <c r="L3" s="871">
        <v>2014</v>
      </c>
      <c r="M3" s="872">
        <v>2014</v>
      </c>
      <c r="N3" s="870">
        <v>2016</v>
      </c>
      <c r="O3" s="871">
        <v>2014</v>
      </c>
      <c r="P3" s="871">
        <v>2014</v>
      </c>
      <c r="Q3" s="867">
        <v>2017</v>
      </c>
      <c r="R3" s="868"/>
      <c r="S3" s="869"/>
      <c r="T3" s="867">
        <v>2018</v>
      </c>
      <c r="U3" s="868"/>
      <c r="V3" s="869"/>
      <c r="W3" s="145" t="s">
        <v>76</v>
      </c>
    </row>
    <row r="4" spans="1:24" s="38" customFormat="1" ht="45">
      <c r="A4" s="76" t="s">
        <v>26</v>
      </c>
      <c r="B4" s="147" t="s">
        <v>103</v>
      </c>
      <c r="C4" s="148" t="s">
        <v>39</v>
      </c>
      <c r="D4" s="149" t="s">
        <v>122</v>
      </c>
      <c r="E4" s="147" t="s">
        <v>103</v>
      </c>
      <c r="F4" s="148" t="s">
        <v>39</v>
      </c>
      <c r="G4" s="149" t="s">
        <v>122</v>
      </c>
      <c r="H4" s="147" t="s">
        <v>103</v>
      </c>
      <c r="I4" s="148" t="s">
        <v>39</v>
      </c>
      <c r="J4" s="149" t="s">
        <v>122</v>
      </c>
      <c r="K4" s="147" t="s">
        <v>103</v>
      </c>
      <c r="L4" s="148" t="s">
        <v>39</v>
      </c>
      <c r="M4" s="149" t="s">
        <v>122</v>
      </c>
      <c r="N4" s="147" t="s">
        <v>103</v>
      </c>
      <c r="O4" s="148" t="s">
        <v>39</v>
      </c>
      <c r="P4" s="149" t="s">
        <v>122</v>
      </c>
      <c r="Q4" s="147" t="s">
        <v>103</v>
      </c>
      <c r="R4" s="148" t="s">
        <v>39</v>
      </c>
      <c r="S4" s="149" t="s">
        <v>122</v>
      </c>
      <c r="T4" s="147" t="s">
        <v>103</v>
      </c>
      <c r="U4" s="148" t="s">
        <v>39</v>
      </c>
      <c r="V4" s="149" t="s">
        <v>122</v>
      </c>
    </row>
    <row r="5" spans="1:24">
      <c r="A5" s="39" t="s">
        <v>33</v>
      </c>
      <c r="B5" s="150">
        <v>2111943</v>
      </c>
      <c r="C5" s="20">
        <v>6274</v>
      </c>
      <c r="D5" s="151">
        <v>1</v>
      </c>
      <c r="E5" s="150">
        <v>2119954</v>
      </c>
      <c r="F5" s="20">
        <v>6871</v>
      </c>
      <c r="G5" s="151">
        <v>1</v>
      </c>
      <c r="H5" s="150">
        <v>2129195</v>
      </c>
      <c r="I5" s="20">
        <v>6975</v>
      </c>
      <c r="J5" s="151">
        <v>1</v>
      </c>
      <c r="K5" s="150">
        <v>2147262</v>
      </c>
      <c r="L5" s="164">
        <v>7978</v>
      </c>
      <c r="M5" s="151">
        <f>K5/$K$5</f>
        <v>1</v>
      </c>
      <c r="N5" s="150">
        <v>2148725</v>
      </c>
      <c r="O5" s="164">
        <v>7378</v>
      </c>
      <c r="P5" s="151">
        <f>N5/$N$5</f>
        <v>1</v>
      </c>
      <c r="Q5" s="175">
        <v>2162211</v>
      </c>
      <c r="R5" s="176"/>
      <c r="S5" s="151">
        <f>Q5/$Q$5</f>
        <v>1</v>
      </c>
      <c r="T5" s="5">
        <v>2194452</v>
      </c>
      <c r="U5" s="176"/>
      <c r="V5" s="151">
        <f>T5/T5</f>
        <v>1</v>
      </c>
      <c r="W5" t="s">
        <v>138</v>
      </c>
      <c r="X5" s="5"/>
    </row>
    <row r="6" spans="1:24">
      <c r="A6" s="39" t="s">
        <v>118</v>
      </c>
      <c r="B6" s="150">
        <v>414907</v>
      </c>
      <c r="C6" s="20">
        <v>10608</v>
      </c>
      <c r="D6" s="151">
        <v>0.19645748014979572</v>
      </c>
      <c r="E6" s="150">
        <v>409406</v>
      </c>
      <c r="F6" s="20">
        <v>10728</v>
      </c>
      <c r="G6" s="151">
        <v>0.19312022808042062</v>
      </c>
      <c r="H6" s="150">
        <v>394539</v>
      </c>
      <c r="I6" s="20">
        <v>10759</v>
      </c>
      <c r="J6" s="151">
        <v>0.18529960853749891</v>
      </c>
      <c r="K6" s="150">
        <v>379704</v>
      </c>
      <c r="L6" s="20">
        <v>8362.7977973881443</v>
      </c>
      <c r="M6" s="151">
        <f>K6/$K$5</f>
        <v>0.17683170474772059</v>
      </c>
      <c r="N6" s="150">
        <v>368840</v>
      </c>
      <c r="O6" s="164">
        <v>7935</v>
      </c>
      <c r="P6" s="151">
        <f>N6/$N$5</f>
        <v>0.17165528394745722</v>
      </c>
      <c r="Q6" s="175">
        <v>340384</v>
      </c>
      <c r="R6" s="176"/>
      <c r="S6" s="177">
        <f>Q6/$Q$5</f>
        <v>0.15742404418440198</v>
      </c>
      <c r="T6" s="175">
        <v>341723</v>
      </c>
      <c r="U6" s="176"/>
      <c r="V6" s="177">
        <f>T6/T5</f>
        <v>0.15572133726324386</v>
      </c>
      <c r="W6" t="s">
        <v>138</v>
      </c>
      <c r="X6" s="5"/>
    </row>
    <row r="7" spans="1:24">
      <c r="A7" s="39" t="s">
        <v>119</v>
      </c>
      <c r="B7" s="150">
        <v>485589</v>
      </c>
      <c r="C7" s="20">
        <v>9183</v>
      </c>
      <c r="D7" s="151">
        <v>0.22992523945958768</v>
      </c>
      <c r="E7" s="150">
        <v>463063</v>
      </c>
      <c r="F7" s="20">
        <v>9144</v>
      </c>
      <c r="G7" s="151">
        <v>0.21843068292991263</v>
      </c>
      <c r="H7" s="150">
        <v>463417</v>
      </c>
      <c r="I7" s="20">
        <v>9241</v>
      </c>
      <c r="J7" s="151">
        <v>0.2176489236542449</v>
      </c>
      <c r="K7" s="150">
        <v>460148</v>
      </c>
      <c r="L7" s="20">
        <v>8816.3627420836092</v>
      </c>
      <c r="M7" s="151">
        <f>K7/$K$5</f>
        <v>0.21429522806252799</v>
      </c>
      <c r="N7" s="150">
        <v>449084</v>
      </c>
      <c r="O7" s="164">
        <v>8951</v>
      </c>
      <c r="P7" s="151">
        <f>N7/$N$5</f>
        <v>0.20900022106132707</v>
      </c>
      <c r="Q7" s="175">
        <v>436383</v>
      </c>
      <c r="R7" s="176"/>
      <c r="S7" s="177">
        <f>Q7/$Q$5</f>
        <v>0.20182257883250063</v>
      </c>
      <c r="T7" s="175">
        <v>439597</v>
      </c>
      <c r="U7" s="176"/>
      <c r="V7" s="177">
        <f>T7/T5</f>
        <v>0.20032199382807189</v>
      </c>
      <c r="W7" t="s">
        <v>138</v>
      </c>
      <c r="X7" s="5"/>
    </row>
    <row r="8" spans="1:24">
      <c r="A8" s="39" t="s">
        <v>120</v>
      </c>
      <c r="B8" s="150">
        <v>702081</v>
      </c>
      <c r="C8" s="20">
        <v>9485</v>
      </c>
      <c r="D8" s="151">
        <v>0.33243368784100708</v>
      </c>
      <c r="E8" s="150">
        <v>706643</v>
      </c>
      <c r="F8" s="20">
        <v>10284</v>
      </c>
      <c r="G8" s="151">
        <v>0.33332940243043008</v>
      </c>
      <c r="H8" s="150">
        <v>698652</v>
      </c>
      <c r="I8" s="20">
        <v>10365</v>
      </c>
      <c r="J8" s="151">
        <v>0.32812964524151145</v>
      </c>
      <c r="K8" s="150">
        <v>706637</v>
      </c>
      <c r="L8" s="20">
        <v>11441.500731984419</v>
      </c>
      <c r="M8" s="151">
        <f>K8/$K$5</f>
        <v>0.32908746114819709</v>
      </c>
      <c r="N8" s="150">
        <v>691479</v>
      </c>
      <c r="O8" s="164">
        <v>11075</v>
      </c>
      <c r="P8" s="151">
        <f>N8/$N$5</f>
        <v>0.32180897974380157</v>
      </c>
      <c r="Q8" s="175">
        <v>702004</v>
      </c>
      <c r="R8" s="176"/>
      <c r="S8" s="177">
        <f>Q8/$Q$5</f>
        <v>0.32466951652729542</v>
      </c>
      <c r="T8" s="175">
        <v>685941</v>
      </c>
      <c r="U8" s="176"/>
      <c r="V8" s="177">
        <f>T8/T5</f>
        <v>0.31257963263721422</v>
      </c>
      <c r="W8" t="s">
        <v>138</v>
      </c>
      <c r="X8" s="5"/>
    </row>
    <row r="9" spans="1:24">
      <c r="A9" s="39" t="s">
        <v>121</v>
      </c>
      <c r="B9" s="150">
        <v>509366</v>
      </c>
      <c r="C9" s="20">
        <v>8894</v>
      </c>
      <c r="D9" s="151">
        <v>0.24118359254960953</v>
      </c>
      <c r="E9" s="150">
        <v>540842</v>
      </c>
      <c r="F9" s="20">
        <v>8677</v>
      </c>
      <c r="G9" s="151">
        <v>0.25511968655923667</v>
      </c>
      <c r="H9" s="150">
        <v>572587</v>
      </c>
      <c r="I9" s="20">
        <v>8979</v>
      </c>
      <c r="J9" s="151">
        <v>0.26892182256674468</v>
      </c>
      <c r="K9" s="150">
        <v>600773</v>
      </c>
      <c r="L9" s="20">
        <v>10240.790692129196</v>
      </c>
      <c r="M9" s="151">
        <f>K9/$K$5</f>
        <v>0.27978560604155434</v>
      </c>
      <c r="N9" s="150">
        <v>639322</v>
      </c>
      <c r="O9" s="164">
        <v>10298</v>
      </c>
      <c r="P9" s="151">
        <f>N9/$N$5</f>
        <v>0.29753551524741417</v>
      </c>
      <c r="Q9" s="175">
        <v>683440</v>
      </c>
      <c r="R9" s="176"/>
      <c r="S9" s="177">
        <f>Q9/$Q$5</f>
        <v>0.31608386045580195</v>
      </c>
      <c r="T9" s="175">
        <v>727191</v>
      </c>
      <c r="U9" s="176"/>
      <c r="V9" s="177">
        <f>T9/T5</f>
        <v>0.33137703627147003</v>
      </c>
      <c r="W9" t="s">
        <v>138</v>
      </c>
      <c r="X9" s="5"/>
    </row>
    <row r="10" spans="1:24">
      <c r="A10" s="39"/>
      <c r="B10" s="152"/>
      <c r="C10" s="15"/>
      <c r="D10" s="151"/>
      <c r="E10" s="152"/>
      <c r="F10" s="15"/>
      <c r="G10" s="151"/>
      <c r="H10" s="152"/>
      <c r="I10" s="15"/>
      <c r="J10" s="151"/>
      <c r="K10" s="152"/>
      <c r="L10" s="15"/>
      <c r="M10" s="151"/>
      <c r="N10" s="173"/>
      <c r="O10" s="174"/>
      <c r="P10" s="151"/>
      <c r="Q10" s="175"/>
      <c r="R10" s="176"/>
      <c r="S10" s="151"/>
      <c r="T10" s="175"/>
      <c r="U10" s="176"/>
      <c r="V10" s="151"/>
      <c r="X10" s="5"/>
    </row>
    <row r="11" spans="1:24">
      <c r="A11" s="99" t="s">
        <v>142</v>
      </c>
      <c r="B11" s="153">
        <v>58906</v>
      </c>
      <c r="C11" s="15">
        <v>668</v>
      </c>
      <c r="D11" s="154" t="s">
        <v>126</v>
      </c>
      <c r="E11" s="153">
        <v>60702</v>
      </c>
      <c r="F11" s="15">
        <v>432</v>
      </c>
      <c r="G11" s="154" t="s">
        <v>126</v>
      </c>
      <c r="H11" s="153">
        <v>61481</v>
      </c>
      <c r="I11" s="15">
        <v>471</v>
      </c>
      <c r="J11" s="154" t="s">
        <v>126</v>
      </c>
      <c r="K11" s="153">
        <v>63488</v>
      </c>
      <c r="L11" s="165">
        <v>669</v>
      </c>
      <c r="M11" s="154" t="s">
        <v>126</v>
      </c>
      <c r="N11" s="153">
        <v>65599</v>
      </c>
      <c r="O11" s="167">
        <v>606</v>
      </c>
      <c r="P11" s="154" t="s">
        <v>126</v>
      </c>
      <c r="Q11" s="153">
        <v>68388</v>
      </c>
      <c r="R11" s="178">
        <v>658</v>
      </c>
      <c r="S11" s="154"/>
      <c r="T11" s="153"/>
      <c r="U11" s="178"/>
      <c r="V11" s="154"/>
      <c r="W11" t="s">
        <v>141</v>
      </c>
    </row>
    <row r="12" spans="1:24">
      <c r="A12" s="99" t="s">
        <v>266</v>
      </c>
      <c r="B12" s="155">
        <v>62882</v>
      </c>
      <c r="C12" s="156"/>
      <c r="D12" s="154" t="s">
        <v>126</v>
      </c>
      <c r="E12" s="155">
        <v>63854</v>
      </c>
      <c r="F12" s="156"/>
      <c r="G12" s="154" t="s">
        <v>126</v>
      </c>
      <c r="H12" s="153">
        <v>63662</v>
      </c>
      <c r="I12" s="156"/>
      <c r="J12" s="154" t="s">
        <v>126</v>
      </c>
      <c r="K12" s="153">
        <v>65657</v>
      </c>
      <c r="L12" s="166"/>
      <c r="M12" s="154" t="s">
        <v>126</v>
      </c>
      <c r="N12" s="155">
        <v>66993</v>
      </c>
      <c r="O12" s="69"/>
      <c r="P12" s="154" t="s">
        <v>126</v>
      </c>
      <c r="Q12" s="153">
        <v>68388</v>
      </c>
      <c r="R12" s="178">
        <v>658</v>
      </c>
      <c r="S12" s="154"/>
      <c r="T12" s="153"/>
      <c r="U12" s="178"/>
      <c r="V12" s="154"/>
      <c r="W12" t="s">
        <v>140</v>
      </c>
    </row>
    <row r="13" spans="1:24">
      <c r="A13" s="39"/>
      <c r="B13" s="155"/>
      <c r="C13" s="157"/>
      <c r="D13" s="154"/>
      <c r="E13" s="155"/>
      <c r="F13" s="157"/>
      <c r="G13" s="154"/>
      <c r="H13" s="153"/>
      <c r="I13" s="15"/>
      <c r="J13" s="154"/>
      <c r="K13" s="153"/>
      <c r="L13" s="15"/>
      <c r="M13" s="154"/>
      <c r="N13" s="152"/>
      <c r="O13" s="39"/>
      <c r="P13" s="154"/>
      <c r="Q13" s="179"/>
      <c r="R13" s="180"/>
      <c r="S13" s="154"/>
      <c r="T13" s="179"/>
      <c r="U13" s="180"/>
      <c r="V13" s="154"/>
    </row>
    <row r="14" spans="1:24" ht="15.75">
      <c r="A14" s="27" t="s">
        <v>29</v>
      </c>
      <c r="B14" s="152"/>
      <c r="C14" s="15"/>
      <c r="D14" s="154"/>
      <c r="E14" s="152"/>
      <c r="F14" s="15"/>
      <c r="G14" s="154"/>
      <c r="H14" s="152"/>
      <c r="I14" s="15"/>
      <c r="J14" s="154"/>
      <c r="K14" s="152"/>
      <c r="L14" s="15"/>
      <c r="M14" s="154"/>
      <c r="N14" s="152"/>
      <c r="O14" s="39"/>
      <c r="P14" s="154"/>
      <c r="Q14" s="179"/>
      <c r="R14" s="180"/>
      <c r="S14" s="154"/>
      <c r="T14" s="179"/>
      <c r="U14" s="180"/>
      <c r="V14" s="154"/>
    </row>
    <row r="15" spans="1:24">
      <c r="A15" s="39" t="s">
        <v>33</v>
      </c>
      <c r="B15" s="150">
        <v>57099</v>
      </c>
      <c r="C15" s="20">
        <v>1268</v>
      </c>
      <c r="D15" s="151">
        <v>1</v>
      </c>
      <c r="E15" s="150">
        <v>58203</v>
      </c>
      <c r="F15" s="20">
        <v>1283</v>
      </c>
      <c r="G15" s="151">
        <v>1</v>
      </c>
      <c r="H15" s="150">
        <v>58607</v>
      </c>
      <c r="I15" s="20">
        <v>997</v>
      </c>
      <c r="J15" s="151">
        <v>1</v>
      </c>
      <c r="K15" s="150">
        <v>58101</v>
      </c>
      <c r="L15" s="164">
        <v>1198</v>
      </c>
      <c r="M15" s="151">
        <f>K15/$K$15</f>
        <v>1</v>
      </c>
      <c r="N15" s="150">
        <v>61357</v>
      </c>
      <c r="O15" s="164">
        <v>1001</v>
      </c>
      <c r="P15" s="151">
        <f>N15/$N$15</f>
        <v>1</v>
      </c>
      <c r="Q15" s="144">
        <v>61837</v>
      </c>
      <c r="R15" s="176"/>
      <c r="S15" s="151">
        <f>Q15/$Q$15</f>
        <v>1</v>
      </c>
      <c r="T15" s="11">
        <v>63462</v>
      </c>
      <c r="U15" s="176"/>
      <c r="V15" s="151">
        <f>T15/T15</f>
        <v>1</v>
      </c>
      <c r="W15" t="s">
        <v>138</v>
      </c>
      <c r="X15" s="5"/>
    </row>
    <row r="16" spans="1:24">
      <c r="A16" s="39" t="s">
        <v>118</v>
      </c>
      <c r="B16" s="150">
        <v>9458</v>
      </c>
      <c r="C16" s="20">
        <v>1803</v>
      </c>
      <c r="D16" s="151">
        <v>0.16564213033503214</v>
      </c>
      <c r="E16" s="150">
        <v>8913</v>
      </c>
      <c r="F16" s="20">
        <v>1890</v>
      </c>
      <c r="G16" s="151">
        <v>0.15313643626617185</v>
      </c>
      <c r="H16" s="150">
        <v>8295</v>
      </c>
      <c r="I16" s="20">
        <v>1799</v>
      </c>
      <c r="J16" s="151">
        <v>0.14153599399389152</v>
      </c>
      <c r="K16" s="150">
        <v>9458</v>
      </c>
      <c r="L16" s="20">
        <v>1459.5071085815239</v>
      </c>
      <c r="M16" s="151">
        <f>K16/$K$15</f>
        <v>0.1627854942255727</v>
      </c>
      <c r="N16" s="150">
        <v>9091</v>
      </c>
      <c r="O16" s="164">
        <v>1329</v>
      </c>
      <c r="P16" s="151">
        <f>N16/$N$15</f>
        <v>0.14816565347067165</v>
      </c>
      <c r="Q16" s="175">
        <v>8191</v>
      </c>
      <c r="R16" s="176"/>
      <c r="S16" s="151">
        <f>Q16/$Q$15</f>
        <v>0.13246114785646135</v>
      </c>
      <c r="T16" s="175">
        <v>9397</v>
      </c>
      <c r="U16" s="176"/>
      <c r="V16" s="151">
        <f>T16/T15</f>
        <v>0.14807286250039395</v>
      </c>
      <c r="W16" t="s">
        <v>138</v>
      </c>
      <c r="X16" s="5"/>
    </row>
    <row r="17" spans="1:24">
      <c r="A17" s="39" t="s">
        <v>119</v>
      </c>
      <c r="B17" s="150">
        <v>12508</v>
      </c>
      <c r="C17" s="20">
        <v>1635</v>
      </c>
      <c r="D17" s="151">
        <v>0.2190581271125589</v>
      </c>
      <c r="E17" s="150">
        <v>12955</v>
      </c>
      <c r="F17" s="20">
        <v>1581</v>
      </c>
      <c r="G17" s="151">
        <v>0.22258302836623542</v>
      </c>
      <c r="H17" s="150">
        <v>11486</v>
      </c>
      <c r="I17" s="20">
        <v>1579</v>
      </c>
      <c r="J17" s="151">
        <v>0.19598341495043253</v>
      </c>
      <c r="K17" s="150">
        <v>10684</v>
      </c>
      <c r="L17" s="20">
        <v>1420.7315017271912</v>
      </c>
      <c r="M17" s="151">
        <f>K17/$K$15</f>
        <v>0.1838866800915647</v>
      </c>
      <c r="N17" s="150">
        <v>12726</v>
      </c>
      <c r="O17" s="164">
        <v>1652</v>
      </c>
      <c r="P17" s="151">
        <f>N17/$N$15</f>
        <v>0.20740909757647863</v>
      </c>
      <c r="Q17" s="175">
        <v>9871</v>
      </c>
      <c r="R17" s="176"/>
      <c r="S17" s="151">
        <f>Q17/$Q$15</f>
        <v>0.15962934812490903</v>
      </c>
      <c r="T17" s="175">
        <v>12328</v>
      </c>
      <c r="U17" s="176"/>
      <c r="V17" s="151">
        <f>T17/T15</f>
        <v>0.19425798115407644</v>
      </c>
      <c r="W17" t="s">
        <v>138</v>
      </c>
      <c r="X17" s="5"/>
    </row>
    <row r="18" spans="1:24">
      <c r="A18" s="39" t="s">
        <v>120</v>
      </c>
      <c r="B18" s="150">
        <v>19900</v>
      </c>
      <c r="C18" s="20">
        <v>1923</v>
      </c>
      <c r="D18" s="151">
        <v>0.34851748717140407</v>
      </c>
      <c r="E18" s="150">
        <v>19321</v>
      </c>
      <c r="F18" s="20">
        <v>1748</v>
      </c>
      <c r="G18" s="151">
        <v>0.33195883373709256</v>
      </c>
      <c r="H18" s="150">
        <v>19452</v>
      </c>
      <c r="I18" s="20">
        <v>1593</v>
      </c>
      <c r="J18" s="151">
        <v>0.33190574504751991</v>
      </c>
      <c r="K18" s="150">
        <v>19275</v>
      </c>
      <c r="L18" s="20">
        <v>1713.4331034504964</v>
      </c>
      <c r="M18" s="151">
        <f>K18/$K$15</f>
        <v>0.33174988382299786</v>
      </c>
      <c r="N18" s="150">
        <v>19699</v>
      </c>
      <c r="O18" s="164">
        <v>1797</v>
      </c>
      <c r="P18" s="151">
        <f>N18/$N$15</f>
        <v>0.32105546229444071</v>
      </c>
      <c r="Q18" s="175">
        <v>20598</v>
      </c>
      <c r="R18" s="176"/>
      <c r="S18" s="151">
        <f>Q18/$Q$15</f>
        <v>0.33310154114850332</v>
      </c>
      <c r="T18" s="175">
        <v>19386</v>
      </c>
      <c r="U18" s="176"/>
      <c r="V18" s="151">
        <f>T18/T15</f>
        <v>0.30547414200623996</v>
      </c>
      <c r="W18" t="s">
        <v>138</v>
      </c>
      <c r="X18" s="5"/>
    </row>
    <row r="19" spans="1:24">
      <c r="A19" s="39" t="s">
        <v>121</v>
      </c>
      <c r="B19" s="150">
        <v>15233</v>
      </c>
      <c r="C19" s="20">
        <v>1604</v>
      </c>
      <c r="D19" s="151">
        <v>0.26678225538100492</v>
      </c>
      <c r="E19" s="150">
        <v>17014</v>
      </c>
      <c r="F19" s="20">
        <v>1582</v>
      </c>
      <c r="G19" s="151">
        <v>0.29232170163050014</v>
      </c>
      <c r="H19" s="150">
        <v>19374</v>
      </c>
      <c r="I19" s="20">
        <v>1600</v>
      </c>
      <c r="J19" s="151">
        <v>0.33057484600815601</v>
      </c>
      <c r="K19" s="150">
        <v>18684</v>
      </c>
      <c r="L19" s="20">
        <v>1517.1308447197296</v>
      </c>
      <c r="M19" s="151">
        <f>K19/$K$15</f>
        <v>0.32157794185986471</v>
      </c>
      <c r="N19" s="150">
        <v>19841</v>
      </c>
      <c r="O19" s="164">
        <v>1787</v>
      </c>
      <c r="P19" s="151">
        <f>N19/$N$15</f>
        <v>0.32336978665840899</v>
      </c>
      <c r="Q19" s="175">
        <v>23213</v>
      </c>
      <c r="R19" s="176"/>
      <c r="S19" s="151">
        <f>Q19/$Q$15</f>
        <v>0.37539013859016446</v>
      </c>
      <c r="T19" s="175">
        <v>22351</v>
      </c>
      <c r="U19" s="176"/>
      <c r="V19" s="151">
        <f>T19/T15</f>
        <v>0.35219501433928968</v>
      </c>
      <c r="W19" t="s">
        <v>138</v>
      </c>
      <c r="X19" s="5"/>
    </row>
    <row r="20" spans="1:24">
      <c r="A20" s="39"/>
      <c r="B20" s="152"/>
      <c r="C20" s="15"/>
      <c r="D20" s="151"/>
      <c r="E20" s="152"/>
      <c r="F20" s="15"/>
      <c r="G20" s="151"/>
      <c r="H20" s="152"/>
      <c r="I20" s="15"/>
      <c r="J20" s="151"/>
      <c r="K20" s="152"/>
      <c r="L20" s="15"/>
      <c r="M20" s="151"/>
      <c r="N20" s="173"/>
      <c r="O20" s="174"/>
      <c r="P20" s="151"/>
      <c r="Q20" s="175"/>
      <c r="R20" s="176"/>
      <c r="S20" s="151"/>
      <c r="T20" s="175"/>
      <c r="U20" s="176"/>
      <c r="V20" s="151"/>
      <c r="X20" s="5"/>
    </row>
    <row r="21" spans="1:24">
      <c r="A21" s="99" t="s">
        <v>142</v>
      </c>
      <c r="B21" s="153">
        <v>63803</v>
      </c>
      <c r="C21" s="60">
        <v>4036</v>
      </c>
      <c r="D21" s="154" t="s">
        <v>126</v>
      </c>
      <c r="E21" s="153">
        <v>65665</v>
      </c>
      <c r="F21" s="60">
        <v>2409</v>
      </c>
      <c r="G21" s="154" t="s">
        <v>126</v>
      </c>
      <c r="H21" s="153">
        <v>69731</v>
      </c>
      <c r="I21" s="60">
        <v>5612</v>
      </c>
      <c r="J21" s="154" t="s">
        <v>126</v>
      </c>
      <c r="K21" s="153">
        <v>69973</v>
      </c>
      <c r="L21" s="165">
        <v>3043</v>
      </c>
      <c r="M21" s="154" t="s">
        <v>126</v>
      </c>
      <c r="N21" s="153">
        <v>72428</v>
      </c>
      <c r="O21" s="167">
        <v>3664</v>
      </c>
      <c r="P21" s="154" t="s">
        <v>126</v>
      </c>
      <c r="Q21" s="153">
        <v>77270</v>
      </c>
      <c r="R21" s="178">
        <v>3359</v>
      </c>
      <c r="S21" s="154"/>
      <c r="T21" s="153"/>
      <c r="U21" s="178"/>
      <c r="V21" s="154"/>
      <c r="W21" t="s">
        <v>141</v>
      </c>
      <c r="X21" s="5"/>
    </row>
    <row r="22" spans="1:24">
      <c r="A22" s="99" t="s">
        <v>266</v>
      </c>
      <c r="B22" s="155">
        <v>68110</v>
      </c>
      <c r="C22" s="156"/>
      <c r="D22" s="154" t="s">
        <v>126</v>
      </c>
      <c r="E22" s="155">
        <v>69075</v>
      </c>
      <c r="F22" s="157"/>
      <c r="G22" s="154" t="s">
        <v>126</v>
      </c>
      <c r="H22" s="153">
        <v>72206</v>
      </c>
      <c r="I22" s="156"/>
      <c r="J22" s="154" t="s">
        <v>126</v>
      </c>
      <c r="K22" s="153">
        <v>72327</v>
      </c>
      <c r="L22" s="166"/>
      <c r="M22" s="154" t="s">
        <v>126</v>
      </c>
      <c r="N22" s="153">
        <v>73967</v>
      </c>
      <c r="O22" s="167"/>
      <c r="P22" s="154" t="s">
        <v>126</v>
      </c>
      <c r="Q22" s="153">
        <v>77270</v>
      </c>
      <c r="R22" s="178"/>
      <c r="S22" s="154"/>
      <c r="T22" s="153"/>
      <c r="U22" s="178"/>
      <c r="V22" s="154"/>
      <c r="W22" t="s">
        <v>140</v>
      </c>
      <c r="X22" s="5"/>
    </row>
    <row r="23" spans="1:24">
      <c r="A23" s="39"/>
      <c r="B23" s="155"/>
      <c r="C23" s="157"/>
      <c r="D23" s="154"/>
      <c r="E23" s="155"/>
      <c r="F23" s="157"/>
      <c r="G23" s="154"/>
      <c r="H23" s="153"/>
      <c r="I23" s="15"/>
      <c r="J23" s="154"/>
      <c r="K23" s="153"/>
      <c r="L23" s="15"/>
      <c r="M23" s="154"/>
      <c r="N23" s="152"/>
      <c r="O23" s="39"/>
      <c r="P23" s="154"/>
      <c r="Q23" s="179"/>
      <c r="R23" s="180"/>
      <c r="S23" s="154"/>
      <c r="T23" s="179"/>
      <c r="U23" s="180"/>
      <c r="V23" s="154"/>
      <c r="X23" s="5"/>
    </row>
    <row r="24" spans="1:24" ht="15.75">
      <c r="A24" s="27" t="s">
        <v>27</v>
      </c>
      <c r="B24" s="152"/>
      <c r="C24" s="15"/>
      <c r="D24" s="154"/>
      <c r="E24" s="152"/>
      <c r="F24" s="15"/>
      <c r="G24" s="154"/>
      <c r="H24" s="152"/>
      <c r="I24" s="15"/>
      <c r="J24" s="154"/>
      <c r="K24" s="152"/>
      <c r="L24" s="15"/>
      <c r="M24" s="154"/>
      <c r="N24" s="152"/>
      <c r="O24" s="39"/>
      <c r="P24" s="154"/>
      <c r="Q24" s="179"/>
      <c r="R24" s="180"/>
      <c r="S24" s="154"/>
      <c r="T24" s="179"/>
      <c r="U24" s="180"/>
      <c r="V24" s="154"/>
      <c r="X24" s="5"/>
    </row>
    <row r="25" spans="1:24">
      <c r="A25" s="39" t="s">
        <v>33</v>
      </c>
      <c r="B25" s="150">
        <v>43101</v>
      </c>
      <c r="C25" s="20">
        <v>1150</v>
      </c>
      <c r="D25" s="151">
        <v>1</v>
      </c>
      <c r="E25" s="150">
        <v>43712</v>
      </c>
      <c r="F25" s="20">
        <v>1347</v>
      </c>
      <c r="G25" s="151">
        <v>1</v>
      </c>
      <c r="H25" s="150">
        <v>44661</v>
      </c>
      <c r="I25" s="20">
        <v>1030</v>
      </c>
      <c r="J25" s="151">
        <v>1</v>
      </c>
      <c r="K25" s="150">
        <v>43018</v>
      </c>
      <c r="L25" s="164">
        <v>1187</v>
      </c>
      <c r="M25" s="151">
        <f>K25/$K$25</f>
        <v>1</v>
      </c>
      <c r="N25" s="150">
        <v>46478</v>
      </c>
      <c r="O25" s="164">
        <v>1171</v>
      </c>
      <c r="P25" s="151">
        <f>N25/$N$25</f>
        <v>1</v>
      </c>
      <c r="Q25" s="175">
        <v>46645</v>
      </c>
      <c r="R25" s="176"/>
      <c r="S25" s="151">
        <f>Q25/$Q$25</f>
        <v>1</v>
      </c>
      <c r="T25" s="11">
        <v>49361</v>
      </c>
      <c r="U25" s="176"/>
      <c r="V25" s="151">
        <f>T25/T25</f>
        <v>1</v>
      </c>
      <c r="W25" t="s">
        <v>138</v>
      </c>
      <c r="X25" s="5"/>
    </row>
    <row r="26" spans="1:24">
      <c r="A26" s="39" t="s">
        <v>118</v>
      </c>
      <c r="B26" s="150">
        <v>7843</v>
      </c>
      <c r="C26" s="20">
        <v>1634</v>
      </c>
      <c r="D26" s="151">
        <v>0.18196793577875223</v>
      </c>
      <c r="E26" s="150">
        <v>7471</v>
      </c>
      <c r="F26" s="20">
        <v>1884</v>
      </c>
      <c r="G26" s="151">
        <v>0.1709141654465593</v>
      </c>
      <c r="H26" s="150">
        <v>6466</v>
      </c>
      <c r="I26" s="20">
        <v>1705</v>
      </c>
      <c r="J26" s="151">
        <v>0.14477956158617139</v>
      </c>
      <c r="K26" s="150">
        <v>7796</v>
      </c>
      <c r="L26" s="20">
        <v>1392.3986498126174</v>
      </c>
      <c r="M26" s="151">
        <f>K26/$K$25</f>
        <v>0.18122646334092704</v>
      </c>
      <c r="N26" s="150">
        <v>7623</v>
      </c>
      <c r="O26" s="164">
        <v>1305</v>
      </c>
      <c r="P26" s="151">
        <f>N26/$N$25</f>
        <v>0.16401308145789406</v>
      </c>
      <c r="Q26" s="175">
        <v>6620</v>
      </c>
      <c r="R26" s="176"/>
      <c r="S26" s="151">
        <f>Q26/$Q$25</f>
        <v>0.14192303569514417</v>
      </c>
      <c r="T26" s="175">
        <v>8512</v>
      </c>
      <c r="U26" s="176"/>
      <c r="V26" s="151">
        <f>T26/T25</f>
        <v>0.17244383217519904</v>
      </c>
      <c r="W26" t="s">
        <v>138</v>
      </c>
      <c r="X26" s="5"/>
    </row>
    <row r="27" spans="1:24">
      <c r="A27" s="39" t="s">
        <v>119</v>
      </c>
      <c r="B27" s="150">
        <v>9286</v>
      </c>
      <c r="C27" s="20">
        <v>1355</v>
      </c>
      <c r="D27" s="151">
        <v>0.21544743741444514</v>
      </c>
      <c r="E27" s="150">
        <v>10159</v>
      </c>
      <c r="F27" s="20">
        <v>1434</v>
      </c>
      <c r="G27" s="151">
        <v>0.23240757686676428</v>
      </c>
      <c r="H27" s="150">
        <v>9758</v>
      </c>
      <c r="I27" s="20">
        <v>1508</v>
      </c>
      <c r="J27" s="151">
        <v>0.21849040549920512</v>
      </c>
      <c r="K27" s="150">
        <v>8297</v>
      </c>
      <c r="L27" s="20">
        <v>1204.4019262688016</v>
      </c>
      <c r="M27" s="151">
        <f>K27/$K$25</f>
        <v>0.19287275094146636</v>
      </c>
      <c r="N27" s="150">
        <v>10316</v>
      </c>
      <c r="O27" s="164">
        <v>1548</v>
      </c>
      <c r="P27" s="151">
        <f>N27/$N$25</f>
        <v>0.22195447308403976</v>
      </c>
      <c r="Q27" s="175">
        <v>7157</v>
      </c>
      <c r="R27" s="176"/>
      <c r="S27" s="151">
        <f>Q27/$Q$25</f>
        <v>0.15343552363597385</v>
      </c>
      <c r="T27" s="175">
        <v>9734</v>
      </c>
      <c r="U27" s="176"/>
      <c r="V27" s="151">
        <f>T27/T25</f>
        <v>0.19720021879621563</v>
      </c>
      <c r="W27" t="s">
        <v>138</v>
      </c>
      <c r="X27" s="5"/>
    </row>
    <row r="28" spans="1:24">
      <c r="A28" s="39" t="s">
        <v>120</v>
      </c>
      <c r="B28" s="150">
        <v>15157</v>
      </c>
      <c r="C28" s="20">
        <v>1772</v>
      </c>
      <c r="D28" s="151">
        <v>0.35166237442286724</v>
      </c>
      <c r="E28" s="150">
        <v>14147</v>
      </c>
      <c r="F28" s="20">
        <v>1586</v>
      </c>
      <c r="G28" s="151">
        <v>0.3236411054172767</v>
      </c>
      <c r="H28" s="150">
        <v>14759</v>
      </c>
      <c r="I28" s="20">
        <v>1528</v>
      </c>
      <c r="J28" s="151">
        <v>0.33046729809005621</v>
      </c>
      <c r="K28" s="150">
        <v>14321</v>
      </c>
      <c r="L28" s="20">
        <v>1496.1049428432484</v>
      </c>
      <c r="M28" s="151">
        <f>K28/$K$25</f>
        <v>0.3329071551443582</v>
      </c>
      <c r="N28" s="150">
        <v>14837</v>
      </c>
      <c r="O28" s="164">
        <v>1586</v>
      </c>
      <c r="P28" s="151">
        <f>N28/$N$25</f>
        <v>0.3192263006153449</v>
      </c>
      <c r="Q28" s="175">
        <v>16491</v>
      </c>
      <c r="R28" s="176"/>
      <c r="S28" s="151">
        <f>Q28/$Q$25</f>
        <v>0.35354271626112121</v>
      </c>
      <c r="T28" s="175">
        <v>15115</v>
      </c>
      <c r="U28" s="176"/>
      <c r="V28" s="151">
        <f>T28/T25</f>
        <v>0.30621340734588037</v>
      </c>
      <c r="W28" t="s">
        <v>138</v>
      </c>
      <c r="X28" s="5"/>
    </row>
    <row r="29" spans="1:24">
      <c r="A29" s="39" t="s">
        <v>121</v>
      </c>
      <c r="B29" s="150">
        <v>10815</v>
      </c>
      <c r="C29" s="20">
        <v>1464</v>
      </c>
      <c r="D29" s="151">
        <v>0.2509222523839354</v>
      </c>
      <c r="E29" s="150">
        <v>11935</v>
      </c>
      <c r="F29" s="20">
        <v>1334</v>
      </c>
      <c r="G29" s="151">
        <v>0.27303715226939973</v>
      </c>
      <c r="H29" s="150">
        <v>13678</v>
      </c>
      <c r="I29" s="20">
        <v>1464</v>
      </c>
      <c r="J29" s="151">
        <v>0.30626273482456728</v>
      </c>
      <c r="K29" s="150">
        <v>12604</v>
      </c>
      <c r="L29" s="20">
        <v>1286.4451018212942</v>
      </c>
      <c r="M29" s="151">
        <f>K29/$K$25</f>
        <v>0.2929936305732484</v>
      </c>
      <c r="N29" s="150">
        <v>13702</v>
      </c>
      <c r="O29" s="164">
        <v>1478</v>
      </c>
      <c r="P29" s="151">
        <f>N29/$N$25</f>
        <v>0.29480614484272127</v>
      </c>
      <c r="Q29" s="175">
        <v>16377</v>
      </c>
      <c r="R29" s="176"/>
      <c r="S29" s="151">
        <f>Q29/$Q$25</f>
        <v>0.35109872440776074</v>
      </c>
      <c r="T29" s="175">
        <v>16000</v>
      </c>
      <c r="U29" s="176"/>
      <c r="V29" s="151">
        <f>T29/T25</f>
        <v>0.32414254168270495</v>
      </c>
      <c r="W29" t="s">
        <v>138</v>
      </c>
      <c r="X29" s="5"/>
    </row>
    <row r="30" spans="1:24">
      <c r="A30" s="39"/>
      <c r="B30" s="152"/>
      <c r="C30" s="15"/>
      <c r="D30" s="151"/>
      <c r="E30" s="152"/>
      <c r="F30" s="15"/>
      <c r="G30" s="151"/>
      <c r="H30" s="152"/>
      <c r="I30" s="15"/>
      <c r="J30" s="151"/>
      <c r="K30" s="152"/>
      <c r="L30" s="15"/>
      <c r="M30" s="151"/>
      <c r="N30" s="173"/>
      <c r="O30" s="174"/>
      <c r="P30" s="151"/>
      <c r="Q30" s="175"/>
      <c r="R30" s="176"/>
      <c r="S30" s="151"/>
      <c r="T30" s="175"/>
      <c r="U30" s="176"/>
      <c r="V30" s="151"/>
      <c r="X30" s="5"/>
    </row>
    <row r="31" spans="1:24">
      <c r="A31" s="99" t="s">
        <v>142</v>
      </c>
      <c r="B31" s="153">
        <v>61741</v>
      </c>
      <c r="C31" s="60">
        <v>3589</v>
      </c>
      <c r="D31" s="154" t="s">
        <v>126</v>
      </c>
      <c r="E31" s="153">
        <v>62152</v>
      </c>
      <c r="F31" s="60">
        <v>4248</v>
      </c>
      <c r="G31" s="154" t="s">
        <v>126</v>
      </c>
      <c r="H31" s="153">
        <v>64726</v>
      </c>
      <c r="I31" s="60">
        <v>3741</v>
      </c>
      <c r="J31" s="154" t="s">
        <v>126</v>
      </c>
      <c r="K31" s="153">
        <v>66340</v>
      </c>
      <c r="L31" s="167">
        <v>2635</v>
      </c>
      <c r="M31" s="154" t="s">
        <v>126</v>
      </c>
      <c r="N31" s="153">
        <v>67712</v>
      </c>
      <c r="O31" s="167">
        <v>6647</v>
      </c>
      <c r="P31" s="154" t="s">
        <v>126</v>
      </c>
      <c r="Q31" s="153">
        <v>75464</v>
      </c>
      <c r="R31" s="178">
        <v>4993</v>
      </c>
      <c r="S31" s="154"/>
      <c r="T31" s="153"/>
      <c r="U31" s="178"/>
      <c r="V31" s="154"/>
      <c r="W31" t="s">
        <v>141</v>
      </c>
    </row>
    <row r="32" spans="1:24">
      <c r="A32" s="99" t="s">
        <v>266</v>
      </c>
      <c r="B32" s="155">
        <v>65909</v>
      </c>
      <c r="C32" s="156"/>
      <c r="D32" s="154" t="s">
        <v>126</v>
      </c>
      <c r="E32" s="155">
        <v>65380</v>
      </c>
      <c r="F32" s="156"/>
      <c r="G32" s="154" t="s">
        <v>126</v>
      </c>
      <c r="H32" s="153">
        <v>67023</v>
      </c>
      <c r="I32" s="156"/>
      <c r="J32" s="154" t="s">
        <v>126</v>
      </c>
      <c r="K32" s="153">
        <v>68607</v>
      </c>
      <c r="L32" s="168"/>
      <c r="M32" s="154" t="s">
        <v>126</v>
      </c>
      <c r="N32" s="153">
        <v>69151</v>
      </c>
      <c r="O32" s="167">
        <v>6647</v>
      </c>
      <c r="P32" s="154" t="s">
        <v>126</v>
      </c>
      <c r="Q32" s="153">
        <v>75464</v>
      </c>
      <c r="R32" s="178"/>
      <c r="S32" s="154"/>
      <c r="T32" s="153"/>
      <c r="U32" s="178"/>
      <c r="V32" s="154"/>
      <c r="W32" t="s">
        <v>140</v>
      </c>
    </row>
    <row r="33" spans="1:23">
      <c r="A33" s="39"/>
      <c r="B33" s="155"/>
      <c r="C33" s="157"/>
      <c r="D33" s="154"/>
      <c r="E33" s="155"/>
      <c r="F33" s="157"/>
      <c r="G33" s="154"/>
      <c r="H33" s="153"/>
      <c r="I33" s="15"/>
      <c r="J33" s="154"/>
      <c r="K33" s="152"/>
      <c r="L33" s="15"/>
      <c r="M33" s="154"/>
      <c r="N33" s="152"/>
      <c r="O33" s="39"/>
      <c r="P33" s="154"/>
      <c r="Q33" s="179"/>
      <c r="R33" s="180"/>
      <c r="S33" s="154"/>
      <c r="T33" s="179"/>
      <c r="U33" s="180"/>
      <c r="V33" s="154"/>
    </row>
    <row r="34" spans="1:23" ht="15.75">
      <c r="A34" s="27" t="s">
        <v>1</v>
      </c>
      <c r="B34" s="152"/>
      <c r="C34" s="15"/>
      <c r="D34" s="154"/>
      <c r="E34" s="152"/>
      <c r="F34" s="15"/>
      <c r="G34" s="154"/>
      <c r="H34" s="152"/>
      <c r="I34" s="15"/>
      <c r="J34" s="154"/>
      <c r="K34" s="152"/>
      <c r="L34" s="15"/>
      <c r="M34" s="154"/>
      <c r="N34" s="152"/>
      <c r="O34" s="39"/>
      <c r="P34" s="154"/>
      <c r="Q34" s="179"/>
      <c r="R34" s="180"/>
      <c r="S34" s="154"/>
      <c r="T34" s="179"/>
      <c r="U34" s="180"/>
      <c r="V34" s="154"/>
    </row>
    <row r="35" spans="1:23">
      <c r="A35" s="39" t="s">
        <v>33</v>
      </c>
      <c r="B35" s="152" t="s">
        <v>126</v>
      </c>
      <c r="C35" s="39" t="s">
        <v>126</v>
      </c>
      <c r="D35" s="154" t="s">
        <v>126</v>
      </c>
      <c r="E35" s="152" t="s">
        <v>126</v>
      </c>
      <c r="F35" s="39" t="s">
        <v>126</v>
      </c>
      <c r="G35" s="154" t="s">
        <v>126</v>
      </c>
      <c r="H35" s="150">
        <v>1909</v>
      </c>
      <c r="I35" s="15">
        <v>71</v>
      </c>
      <c r="J35" s="151">
        <v>1</v>
      </c>
      <c r="K35" s="169">
        <v>1843</v>
      </c>
      <c r="L35" s="170">
        <v>77</v>
      </c>
      <c r="M35" s="151">
        <v>1</v>
      </c>
      <c r="N35" s="173"/>
      <c r="O35" s="174"/>
      <c r="P35" s="151"/>
      <c r="Q35" s="175"/>
      <c r="R35" s="176"/>
      <c r="S35" s="151"/>
      <c r="T35" s="175"/>
      <c r="U35" s="176"/>
      <c r="V35" s="151"/>
      <c r="W35" t="s">
        <v>139</v>
      </c>
    </row>
    <row r="36" spans="1:23">
      <c r="A36" s="39" t="s">
        <v>118</v>
      </c>
      <c r="B36" s="152" t="s">
        <v>126</v>
      </c>
      <c r="C36" s="39" t="s">
        <v>126</v>
      </c>
      <c r="D36" s="154" t="s">
        <v>126</v>
      </c>
      <c r="E36" s="152" t="s">
        <v>126</v>
      </c>
      <c r="F36" s="39" t="s">
        <v>126</v>
      </c>
      <c r="G36" s="154" t="s">
        <v>126</v>
      </c>
      <c r="H36" s="150">
        <v>844</v>
      </c>
      <c r="I36" s="161">
        <v>73.313920680012075</v>
      </c>
      <c r="J36" s="151">
        <v>0.44211629125196439</v>
      </c>
      <c r="K36" s="171">
        <v>752</v>
      </c>
      <c r="L36" s="170">
        <v>73.313920680012075</v>
      </c>
      <c r="M36" s="151">
        <v>0.40803038524145413</v>
      </c>
      <c r="N36" s="173"/>
      <c r="O36" s="174"/>
      <c r="P36" s="151"/>
      <c r="Q36" s="175"/>
      <c r="R36" s="176"/>
      <c r="S36" s="151"/>
      <c r="T36" s="175"/>
      <c r="U36" s="176"/>
      <c r="V36" s="151"/>
      <c r="W36" t="s">
        <v>139</v>
      </c>
    </row>
    <row r="37" spans="1:23">
      <c r="A37" s="39" t="s">
        <v>119</v>
      </c>
      <c r="B37" s="152" t="s">
        <v>126</v>
      </c>
      <c r="C37" s="39" t="s">
        <v>126</v>
      </c>
      <c r="D37" s="154" t="s">
        <v>126</v>
      </c>
      <c r="E37" s="152" t="s">
        <v>126</v>
      </c>
      <c r="F37" s="39" t="s">
        <v>126</v>
      </c>
      <c r="G37" s="154" t="s">
        <v>126</v>
      </c>
      <c r="H37" s="150">
        <v>453</v>
      </c>
      <c r="I37" s="161">
        <v>47.705187737302971</v>
      </c>
      <c r="J37" s="151">
        <v>0.23729701414353063</v>
      </c>
      <c r="K37" s="171">
        <v>443</v>
      </c>
      <c r="L37" s="170">
        <v>47.705187737302971</v>
      </c>
      <c r="M37" s="151">
        <v>0.24036896364622898</v>
      </c>
      <c r="N37" s="173"/>
      <c r="O37" s="174"/>
      <c r="P37" s="151"/>
      <c r="Q37" s="175"/>
      <c r="R37" s="176"/>
      <c r="S37" s="151"/>
      <c r="T37" s="175"/>
      <c r="U37" s="176"/>
      <c r="V37" s="151"/>
      <c r="W37" t="s">
        <v>139</v>
      </c>
    </row>
    <row r="38" spans="1:23">
      <c r="A38" s="39" t="s">
        <v>120</v>
      </c>
      <c r="B38" s="152" t="s">
        <v>126</v>
      </c>
      <c r="C38" s="39" t="s">
        <v>126</v>
      </c>
      <c r="D38" s="154" t="s">
        <v>126</v>
      </c>
      <c r="E38" s="152" t="s">
        <v>126</v>
      </c>
      <c r="F38" s="39" t="s">
        <v>126</v>
      </c>
      <c r="G38" s="154" t="s">
        <v>126</v>
      </c>
      <c r="H38" s="150">
        <v>400</v>
      </c>
      <c r="I38" s="161">
        <v>45.425578843593328</v>
      </c>
      <c r="J38" s="151">
        <v>0.20953378732320588</v>
      </c>
      <c r="K38" s="171">
        <v>387</v>
      </c>
      <c r="L38" s="170">
        <v>45.425578843593328</v>
      </c>
      <c r="M38" s="151">
        <v>0.20998372219207814</v>
      </c>
      <c r="N38" s="173"/>
      <c r="O38" s="174"/>
      <c r="P38" s="151"/>
      <c r="Q38" s="175"/>
      <c r="R38" s="176"/>
      <c r="S38" s="151"/>
      <c r="T38" s="175"/>
      <c r="U38" s="176"/>
      <c r="V38" s="151"/>
      <c r="W38" t="s">
        <v>139</v>
      </c>
    </row>
    <row r="39" spans="1:23">
      <c r="A39" s="39" t="s">
        <v>121</v>
      </c>
      <c r="B39" s="152" t="s">
        <v>126</v>
      </c>
      <c r="C39" s="39" t="s">
        <v>126</v>
      </c>
      <c r="D39" s="154" t="s">
        <v>126</v>
      </c>
      <c r="E39" s="152" t="s">
        <v>126</v>
      </c>
      <c r="F39" s="39" t="s">
        <v>126</v>
      </c>
      <c r="G39" s="154" t="s">
        <v>126</v>
      </c>
      <c r="H39" s="150">
        <v>212</v>
      </c>
      <c r="I39" s="161">
        <v>34.428801346392916</v>
      </c>
      <c r="J39" s="151">
        <v>0.11105290728129912</v>
      </c>
      <c r="K39" s="171">
        <v>261</v>
      </c>
      <c r="L39" s="170">
        <v>34.428801346392916</v>
      </c>
      <c r="M39" s="151">
        <v>0.14161692892023875</v>
      </c>
      <c r="N39" s="173"/>
      <c r="O39" s="174"/>
      <c r="P39" s="151"/>
      <c r="Q39" s="175"/>
      <c r="R39" s="176"/>
      <c r="S39" s="151"/>
      <c r="T39" s="175"/>
      <c r="U39" s="176"/>
      <c r="V39" s="151"/>
      <c r="W39" t="s">
        <v>139</v>
      </c>
    </row>
    <row r="40" spans="1:23">
      <c r="A40" s="39"/>
      <c r="B40" s="152"/>
      <c r="C40" s="15"/>
      <c r="D40" s="151"/>
      <c r="E40" s="152"/>
      <c r="F40" s="15"/>
      <c r="G40" s="151"/>
      <c r="H40" s="152"/>
      <c r="I40" s="15"/>
      <c r="J40" s="151"/>
      <c r="K40" s="171"/>
      <c r="L40" s="172"/>
      <c r="M40" s="151"/>
      <c r="N40" s="173"/>
      <c r="O40" s="174"/>
      <c r="P40" s="151"/>
      <c r="Q40" s="175"/>
      <c r="R40" s="176"/>
      <c r="S40" s="151"/>
      <c r="T40" s="175"/>
      <c r="U40" s="176"/>
      <c r="V40" s="151"/>
    </row>
    <row r="41" spans="1:23">
      <c r="A41" s="39" t="s">
        <v>142</v>
      </c>
      <c r="B41" s="152" t="s">
        <v>126</v>
      </c>
      <c r="C41" s="39" t="s">
        <v>126</v>
      </c>
      <c r="D41" s="154" t="s">
        <v>126</v>
      </c>
      <c r="E41" s="152" t="s">
        <v>126</v>
      </c>
      <c r="F41" s="39" t="s">
        <v>126</v>
      </c>
      <c r="G41" s="154" t="s">
        <v>126</v>
      </c>
      <c r="H41" s="153">
        <v>32860</v>
      </c>
      <c r="I41" s="161">
        <v>4296.9144364377007</v>
      </c>
      <c r="J41" s="151" t="s">
        <v>126</v>
      </c>
      <c r="K41" s="153">
        <v>34393.884427563753</v>
      </c>
      <c r="L41" s="170">
        <v>5193.5502096662403</v>
      </c>
      <c r="M41" s="154" t="s">
        <v>126</v>
      </c>
      <c r="N41" s="152"/>
      <c r="O41" s="39"/>
      <c r="P41" s="154"/>
      <c r="Q41" s="179"/>
      <c r="R41" s="180"/>
      <c r="S41" s="154"/>
      <c r="T41" s="179"/>
      <c r="U41" s="180"/>
      <c r="V41" s="154"/>
      <c r="W41" t="s">
        <v>143</v>
      </c>
    </row>
    <row r="42" spans="1:23" ht="15.75" thickBot="1">
      <c r="A42" s="39" t="s">
        <v>145</v>
      </c>
      <c r="B42" s="158" t="s">
        <v>126</v>
      </c>
      <c r="C42" s="159" t="s">
        <v>126</v>
      </c>
      <c r="D42" s="160" t="s">
        <v>126</v>
      </c>
      <c r="E42" s="158" t="s">
        <v>126</v>
      </c>
      <c r="F42" s="159" t="s">
        <v>126</v>
      </c>
      <c r="G42" s="160" t="s">
        <v>126</v>
      </c>
      <c r="H42" s="162">
        <v>32901.647655259825</v>
      </c>
      <c r="I42" s="163">
        <v>4302.3604623393967</v>
      </c>
      <c r="J42" s="160" t="s">
        <v>126</v>
      </c>
      <c r="K42" s="162">
        <v>34393.884427563753</v>
      </c>
      <c r="L42" s="163">
        <v>5193.5502096662403</v>
      </c>
      <c r="M42" s="160" t="s">
        <v>126</v>
      </c>
      <c r="N42" s="158"/>
      <c r="O42" s="159"/>
      <c r="P42" s="160"/>
      <c r="Q42" s="181"/>
      <c r="R42" s="182"/>
      <c r="S42" s="160"/>
      <c r="T42" s="181"/>
      <c r="U42" s="182"/>
      <c r="V42" s="160"/>
      <c r="W42" t="s">
        <v>144</v>
      </c>
    </row>
    <row r="43" spans="1:23">
      <c r="Q43" s="146"/>
      <c r="R43" s="146"/>
      <c r="T43" s="146"/>
      <c r="U43" s="146"/>
    </row>
    <row r="44" spans="1:23">
      <c r="Q44" s="146"/>
      <c r="R44" s="146"/>
      <c r="T44" s="146"/>
      <c r="U44" s="146"/>
    </row>
    <row r="45" spans="1:23">
      <c r="W45" t="s">
        <v>267</v>
      </c>
    </row>
    <row r="47" spans="1:23">
      <c r="H47" t="s">
        <v>6</v>
      </c>
    </row>
    <row r="48" spans="1:23">
      <c r="W48" t="s">
        <v>268</v>
      </c>
    </row>
    <row r="50" spans="16:22">
      <c r="P50" t="s">
        <v>605</v>
      </c>
      <c r="Q50" s="5"/>
      <c r="R50" t="s">
        <v>606</v>
      </c>
      <c r="S50" s="5"/>
      <c r="T50" t="s">
        <v>607</v>
      </c>
      <c r="U50" s="5"/>
      <c r="V50" t="s">
        <v>608</v>
      </c>
    </row>
  </sheetData>
  <mergeCells count="7">
    <mergeCell ref="T3:V3"/>
    <mergeCell ref="Q3:S3"/>
    <mergeCell ref="B3:D3"/>
    <mergeCell ref="E3:G3"/>
    <mergeCell ref="H3:J3"/>
    <mergeCell ref="K3:M3"/>
    <mergeCell ref="N3:P3"/>
  </mergeCells>
  <pageMargins left="0.7" right="0.7" top="0.75" bottom="0.75" header="0.3" footer="0.3"/>
  <pageSetup orientation="portrait" verticalDpi="0"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Y19"/>
  <sheetViews>
    <sheetView workbookViewId="0">
      <selection activeCell="H20" sqref="H20"/>
    </sheetView>
  </sheetViews>
  <sheetFormatPr defaultColWidth="8.85546875" defaultRowHeight="15"/>
  <cols>
    <col min="1" max="1" width="23.42578125" customWidth="1"/>
    <col min="2" max="2" width="18.42578125" style="39" bestFit="1" customWidth="1"/>
    <col min="3" max="3" width="9.140625" style="39" customWidth="1"/>
    <col min="4" max="4" width="9.42578125" style="39" customWidth="1"/>
    <col min="5" max="5" width="18.42578125" style="39" bestFit="1" customWidth="1"/>
    <col min="6" max="6" width="9.85546875" style="39" customWidth="1"/>
    <col min="7" max="7" width="10.28515625" style="39" customWidth="1"/>
    <col min="8" max="8" width="18.42578125" style="39" bestFit="1" customWidth="1"/>
    <col min="9" max="9" width="10.85546875" style="39" customWidth="1"/>
    <col min="10" max="10" width="10.42578125" style="39" customWidth="1"/>
    <col min="11" max="11" width="18.42578125" style="39" bestFit="1" customWidth="1"/>
    <col min="12" max="12" width="10.85546875" style="39" customWidth="1"/>
    <col min="13" max="13" width="10.42578125" style="39" customWidth="1"/>
    <col min="14" max="14" width="18.42578125" style="39" customWidth="1"/>
    <col min="15" max="16" width="10.42578125" style="39" customWidth="1"/>
    <col min="17" max="17" width="18.42578125" style="39" bestFit="1" customWidth="1"/>
    <col min="18" max="18" width="10.85546875" style="39" customWidth="1"/>
    <col min="19" max="19" width="10.42578125" style="39" customWidth="1"/>
    <col min="20" max="20" width="18.42578125" style="39" customWidth="1"/>
    <col min="21" max="22" width="10.42578125" style="39" customWidth="1"/>
    <col min="23" max="23" width="46.7109375" customWidth="1"/>
  </cols>
  <sheetData>
    <row r="1" spans="1:23" ht="18.600000000000001" customHeight="1">
      <c r="A1" s="23" t="s">
        <v>115</v>
      </c>
    </row>
    <row r="2" spans="1:23" ht="13.7" customHeight="1" thickBot="1">
      <c r="A2" s="45"/>
    </row>
    <row r="3" spans="1:23" s="3" customFormat="1" ht="18" customHeight="1" thickBot="1">
      <c r="B3" s="901">
        <v>2012</v>
      </c>
      <c r="C3" s="902"/>
      <c r="D3" s="903"/>
      <c r="E3" s="896">
        <v>2013</v>
      </c>
      <c r="F3" s="897">
        <v>2013</v>
      </c>
      <c r="G3" s="898">
        <v>2013</v>
      </c>
      <c r="H3" s="901">
        <v>2014</v>
      </c>
      <c r="I3" s="902">
        <v>2014</v>
      </c>
      <c r="J3" s="903">
        <v>2014</v>
      </c>
      <c r="K3" s="896">
        <v>2015</v>
      </c>
      <c r="L3" s="897">
        <v>2014</v>
      </c>
      <c r="M3" s="898">
        <v>2014</v>
      </c>
      <c r="N3" s="901">
        <v>2016</v>
      </c>
      <c r="O3" s="902"/>
      <c r="P3" s="903"/>
      <c r="Q3" s="899">
        <v>2017</v>
      </c>
      <c r="R3" s="897">
        <v>2014</v>
      </c>
      <c r="S3" s="900">
        <v>2014</v>
      </c>
      <c r="T3" s="901">
        <v>2018</v>
      </c>
      <c r="U3" s="902"/>
      <c r="V3" s="903"/>
      <c r="W3" s="430" t="s">
        <v>76</v>
      </c>
    </row>
    <row r="4" spans="1:23" s="44" customFormat="1" ht="60">
      <c r="B4" s="452" t="s">
        <v>94</v>
      </c>
      <c r="C4" s="453" t="s">
        <v>95</v>
      </c>
      <c r="D4" s="454" t="s">
        <v>96</v>
      </c>
      <c r="E4" s="455" t="s">
        <v>94</v>
      </c>
      <c r="F4" s="189" t="s">
        <v>95</v>
      </c>
      <c r="G4" s="456" t="s">
        <v>96</v>
      </c>
      <c r="H4" s="452" t="s">
        <v>94</v>
      </c>
      <c r="I4" s="453" t="s">
        <v>95</v>
      </c>
      <c r="J4" s="454" t="s">
        <v>96</v>
      </c>
      <c r="K4" s="455" t="s">
        <v>94</v>
      </c>
      <c r="L4" s="189" t="s">
        <v>95</v>
      </c>
      <c r="M4" s="456" t="s">
        <v>96</v>
      </c>
      <c r="N4" s="452" t="s">
        <v>94</v>
      </c>
      <c r="O4" s="453" t="s">
        <v>95</v>
      </c>
      <c r="P4" s="454" t="s">
        <v>96</v>
      </c>
      <c r="Q4" s="333" t="s">
        <v>94</v>
      </c>
      <c r="R4" s="189" t="s">
        <v>95</v>
      </c>
      <c r="S4" s="457" t="s">
        <v>96</v>
      </c>
      <c r="T4" s="452" t="s">
        <v>94</v>
      </c>
      <c r="U4" s="453" t="s">
        <v>95</v>
      </c>
      <c r="V4" s="454" t="s">
        <v>96</v>
      </c>
    </row>
    <row r="5" spans="1:23" ht="15.75">
      <c r="A5" s="27" t="s">
        <v>26</v>
      </c>
      <c r="B5" s="342">
        <v>5257443</v>
      </c>
      <c r="C5" s="439">
        <v>598371</v>
      </c>
      <c r="D5" s="440">
        <v>0.114</v>
      </c>
      <c r="E5" s="356">
        <v>5292348</v>
      </c>
      <c r="F5" s="431">
        <v>592422</v>
      </c>
      <c r="G5" s="435">
        <v>0.112</v>
      </c>
      <c r="H5" s="342">
        <v>5332552</v>
      </c>
      <c r="I5" s="439">
        <v>611354</v>
      </c>
      <c r="J5" s="440">
        <v>0.115</v>
      </c>
      <c r="K5" s="356">
        <v>5366594</v>
      </c>
      <c r="L5" s="431">
        <v>546431</v>
      </c>
      <c r="M5" s="435">
        <f>L5/K5</f>
        <v>0.10182081968563302</v>
      </c>
      <c r="N5" s="342">
        <v>5396363</v>
      </c>
      <c r="O5" s="439">
        <v>533276</v>
      </c>
      <c r="P5" s="440">
        <v>9.9000000000000005E-2</v>
      </c>
      <c r="Q5" s="358">
        <v>5257443</v>
      </c>
      <c r="R5" s="431">
        <v>598371</v>
      </c>
      <c r="S5" s="433">
        <v>0.114</v>
      </c>
      <c r="T5" s="342">
        <v>5488344</v>
      </c>
      <c r="U5" s="439">
        <v>529077</v>
      </c>
      <c r="V5" s="440">
        <f>U5/T5</f>
        <v>9.6400116319239462E-2</v>
      </c>
      <c r="W5" t="s">
        <v>299</v>
      </c>
    </row>
    <row r="6" spans="1:23" s="19" customFormat="1" ht="15.75" thickBot="1">
      <c r="A6" s="15" t="s">
        <v>39</v>
      </c>
      <c r="B6" s="449">
        <v>1790</v>
      </c>
      <c r="C6" s="450">
        <v>17622</v>
      </c>
      <c r="D6" s="443">
        <v>3.0000000000000001E-3</v>
      </c>
      <c r="E6" s="458">
        <v>2336</v>
      </c>
      <c r="F6" s="451">
        <v>16554</v>
      </c>
      <c r="G6" s="438">
        <v>3.0000000000000001E-3</v>
      </c>
      <c r="H6" s="449">
        <v>2450</v>
      </c>
      <c r="I6" s="450">
        <v>19609</v>
      </c>
      <c r="J6" s="443">
        <v>4.0000000000000001E-3</v>
      </c>
      <c r="K6" s="458">
        <v>2516</v>
      </c>
      <c r="L6" s="451">
        <v>16392</v>
      </c>
      <c r="M6" s="438">
        <v>3.0000000000000001E-3</v>
      </c>
      <c r="N6" s="442">
        <v>2285</v>
      </c>
      <c r="O6" s="450">
        <v>15913</v>
      </c>
      <c r="P6" s="443">
        <v>3.0000000000000001E-3</v>
      </c>
      <c r="Q6" s="459">
        <v>1790</v>
      </c>
      <c r="R6" s="451">
        <v>17622</v>
      </c>
      <c r="S6" s="434">
        <v>3.0000000000000001E-3</v>
      </c>
      <c r="T6" s="442">
        <v>2504</v>
      </c>
      <c r="U6" s="450">
        <v>16528</v>
      </c>
      <c r="V6" s="443"/>
      <c r="W6" t="s">
        <v>299</v>
      </c>
    </row>
    <row r="7" spans="1:23" ht="15.75" thickBot="1">
      <c r="D7" s="174"/>
      <c r="G7" s="174"/>
      <c r="J7" s="174"/>
      <c r="M7" s="174"/>
      <c r="N7" s="174"/>
      <c r="O7" s="174"/>
      <c r="P7" s="174"/>
      <c r="S7" s="174"/>
      <c r="T7" s="174"/>
      <c r="U7" s="174"/>
      <c r="V7" s="174"/>
    </row>
    <row r="8" spans="1:23" ht="15.75">
      <c r="A8" s="27" t="s">
        <v>29</v>
      </c>
      <c r="B8" s="386">
        <v>144303</v>
      </c>
      <c r="C8" s="444">
        <v>15138</v>
      </c>
      <c r="D8" s="445">
        <v>0.105</v>
      </c>
      <c r="E8" s="385">
        <v>146767</v>
      </c>
      <c r="F8" s="446">
        <v>11350</v>
      </c>
      <c r="G8" s="447">
        <v>7.6999999999999999E-2</v>
      </c>
      <c r="H8" s="386">
        <v>148036</v>
      </c>
      <c r="I8" s="444">
        <v>15223</v>
      </c>
      <c r="J8" s="445">
        <v>0.10299999999999999</v>
      </c>
      <c r="K8" s="385">
        <v>149325</v>
      </c>
      <c r="L8" s="446">
        <v>13972</v>
      </c>
      <c r="M8" s="447">
        <f>L8/K8</f>
        <v>9.3567721413025287E-2</v>
      </c>
      <c r="N8" s="386">
        <v>150736</v>
      </c>
      <c r="O8" s="444">
        <v>13844</v>
      </c>
      <c r="P8" s="445">
        <v>9.1999999999999998E-2</v>
      </c>
      <c r="Q8" s="375">
        <v>153075</v>
      </c>
      <c r="R8" s="446">
        <v>13837</v>
      </c>
      <c r="S8" s="448">
        <v>0.09</v>
      </c>
      <c r="T8" s="386">
        <v>154128</v>
      </c>
      <c r="U8" s="444">
        <v>10062</v>
      </c>
      <c r="V8" s="445">
        <f>U8/T8</f>
        <v>6.5283400809716605E-2</v>
      </c>
      <c r="W8" t="s">
        <v>299</v>
      </c>
    </row>
    <row r="9" spans="1:23" s="19" customFormat="1" ht="15.75" thickBot="1">
      <c r="A9" s="15" t="s">
        <v>39</v>
      </c>
      <c r="B9" s="449">
        <v>1221</v>
      </c>
      <c r="C9" s="450">
        <v>2533</v>
      </c>
      <c r="D9" s="443">
        <v>1.7999999999999999E-2</v>
      </c>
      <c r="E9" s="436">
        <v>929</v>
      </c>
      <c r="F9" s="451">
        <v>2526</v>
      </c>
      <c r="G9" s="438">
        <v>1.7000000000000001E-2</v>
      </c>
      <c r="H9" s="442">
        <v>636</v>
      </c>
      <c r="I9" s="450">
        <v>2540</v>
      </c>
      <c r="J9" s="443">
        <v>1.7000000000000001E-2</v>
      </c>
      <c r="K9" s="436">
        <v>773</v>
      </c>
      <c r="L9" s="451">
        <v>2892</v>
      </c>
      <c r="M9" s="438">
        <v>1.9E-2</v>
      </c>
      <c r="N9" s="442">
        <v>784</v>
      </c>
      <c r="O9" s="450">
        <v>2448</v>
      </c>
      <c r="P9" s="443">
        <v>1.6E-2</v>
      </c>
      <c r="Q9" s="437">
        <v>802</v>
      </c>
      <c r="R9" s="451">
        <v>2969</v>
      </c>
      <c r="S9" s="434">
        <v>1.9E-2</v>
      </c>
      <c r="T9" s="442">
        <v>1257</v>
      </c>
      <c r="U9" s="450">
        <v>2540</v>
      </c>
      <c r="V9" s="443"/>
      <c r="W9" t="s">
        <v>299</v>
      </c>
    </row>
    <row r="10" spans="1:23" ht="15.75" thickBot="1">
      <c r="D10" s="174"/>
      <c r="G10" s="174"/>
      <c r="J10" s="174"/>
      <c r="M10" s="174"/>
      <c r="N10" s="174"/>
      <c r="O10" s="174"/>
      <c r="P10" s="174"/>
      <c r="S10" s="174"/>
      <c r="T10" s="174"/>
      <c r="U10" s="174"/>
      <c r="V10" s="174"/>
    </row>
    <row r="11" spans="1:23" ht="15.75">
      <c r="A11" s="27" t="s">
        <v>27</v>
      </c>
      <c r="B11" s="386">
        <v>106462</v>
      </c>
      <c r="C11" s="444">
        <v>13397</v>
      </c>
      <c r="D11" s="445">
        <v>0.126</v>
      </c>
      <c r="E11" s="385">
        <v>108477</v>
      </c>
      <c r="F11" s="446">
        <v>9605</v>
      </c>
      <c r="G11" s="447">
        <v>8.8999999999999996E-2</v>
      </c>
      <c r="H11" s="386">
        <v>109328</v>
      </c>
      <c r="I11" s="444">
        <v>11686</v>
      </c>
      <c r="J11" s="445">
        <v>0.107</v>
      </c>
      <c r="K11" s="385">
        <v>110305</v>
      </c>
      <c r="L11" s="446">
        <v>12289</v>
      </c>
      <c r="M11" s="447">
        <f>L11/K11</f>
        <v>0.11140927428493722</v>
      </c>
      <c r="N11" s="386">
        <v>111935</v>
      </c>
      <c r="O11" s="444">
        <v>12525</v>
      </c>
      <c r="P11" s="445">
        <v>0.112</v>
      </c>
      <c r="Q11" s="375">
        <v>114107</v>
      </c>
      <c r="R11" s="446">
        <v>12041</v>
      </c>
      <c r="S11" s="447">
        <v>0.106</v>
      </c>
      <c r="T11" s="386">
        <v>115072</v>
      </c>
      <c r="U11" s="824">
        <v>8975</v>
      </c>
      <c r="V11" s="445">
        <f>U11/T11</f>
        <v>7.7994646829810901E-2</v>
      </c>
      <c r="W11" t="s">
        <v>299</v>
      </c>
    </row>
    <row r="12" spans="1:23" s="19" customFormat="1" ht="15.75" thickBot="1">
      <c r="A12" s="15" t="s">
        <v>39</v>
      </c>
      <c r="B12" s="449">
        <v>1218</v>
      </c>
      <c r="C12" s="450">
        <v>2537</v>
      </c>
      <c r="D12" s="443">
        <v>2.4E-2</v>
      </c>
      <c r="E12" s="436">
        <v>978</v>
      </c>
      <c r="F12" s="451">
        <v>2408</v>
      </c>
      <c r="G12" s="438">
        <v>2.1999999999999999E-2</v>
      </c>
      <c r="H12" s="442">
        <v>630</v>
      </c>
      <c r="I12" s="450">
        <v>2462</v>
      </c>
      <c r="J12" s="443">
        <v>2.3E-2</v>
      </c>
      <c r="K12" s="436">
        <v>709</v>
      </c>
      <c r="L12" s="451">
        <v>2760</v>
      </c>
      <c r="M12" s="438">
        <v>2.5000000000000001E-2</v>
      </c>
      <c r="N12" s="442">
        <v>758</v>
      </c>
      <c r="O12" s="450">
        <v>2382</v>
      </c>
      <c r="P12" s="443">
        <v>2.1000000000000001E-2</v>
      </c>
      <c r="Q12" s="437">
        <v>814</v>
      </c>
      <c r="R12" s="451">
        <v>2771</v>
      </c>
      <c r="S12" s="438">
        <v>2.4E-2</v>
      </c>
      <c r="T12" s="442">
        <v>1255</v>
      </c>
      <c r="U12" s="450">
        <v>2455</v>
      </c>
      <c r="V12" s="443"/>
      <c r="W12" t="s">
        <v>299</v>
      </c>
    </row>
    <row r="14" spans="1:23" ht="14.45" customHeight="1">
      <c r="A14" s="892" t="s">
        <v>136</v>
      </c>
      <c r="B14" s="892"/>
      <c r="C14" s="892"/>
      <c r="D14" s="892"/>
      <c r="E14" s="892"/>
    </row>
    <row r="15" spans="1:23">
      <c r="A15" s="892"/>
      <c r="B15" s="892"/>
      <c r="C15" s="892"/>
      <c r="D15" s="892"/>
      <c r="E15" s="892"/>
      <c r="J15" s="39" t="s">
        <v>6</v>
      </c>
    </row>
    <row r="16" spans="1:23">
      <c r="A16" s="892"/>
      <c r="B16" s="892"/>
      <c r="C16" s="892"/>
      <c r="D16" s="892"/>
      <c r="E16" s="892"/>
    </row>
    <row r="17" spans="1:25">
      <c r="A17" s="892"/>
      <c r="B17" s="892"/>
      <c r="C17" s="892"/>
      <c r="D17" s="892"/>
      <c r="E17" s="892"/>
      <c r="Y17" t="s">
        <v>6</v>
      </c>
    </row>
    <row r="18" spans="1:25">
      <c r="A18" s="1"/>
      <c r="B18" s="1"/>
      <c r="C18" s="1"/>
      <c r="D18" s="1"/>
      <c r="E18" s="1"/>
      <c r="R18" s="75"/>
      <c r="S18" s="75"/>
      <c r="T18" s="75"/>
      <c r="U18" s="75"/>
      <c r="V18" s="75"/>
      <c r="W18" s="5"/>
    </row>
    <row r="19" spans="1:25">
      <c r="A19" s="1"/>
      <c r="B19" s="1"/>
      <c r="C19" s="1"/>
      <c r="D19" s="1"/>
      <c r="E19" s="1"/>
      <c r="R19" s="75"/>
      <c r="S19" s="75"/>
      <c r="T19" s="75"/>
      <c r="U19" s="75"/>
      <c r="V19" s="75"/>
      <c r="W19" s="5"/>
    </row>
  </sheetData>
  <mergeCells count="8">
    <mergeCell ref="A14:E17"/>
    <mergeCell ref="K3:M3"/>
    <mergeCell ref="Q3:S3"/>
    <mergeCell ref="T3:V3"/>
    <mergeCell ref="N3:P3"/>
    <mergeCell ref="B3:D3"/>
    <mergeCell ref="E3:G3"/>
    <mergeCell ref="H3:J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9"/>
  <sheetViews>
    <sheetView workbookViewId="0">
      <selection activeCell="D20" sqref="D20"/>
    </sheetView>
  </sheetViews>
  <sheetFormatPr defaultColWidth="8.85546875" defaultRowHeight="15"/>
  <cols>
    <col min="1" max="1" width="39.140625" bestFit="1" customWidth="1"/>
    <col min="2" max="3" width="14.7109375" bestFit="1" customWidth="1"/>
    <col min="4" max="4" width="15.140625" bestFit="1" customWidth="1"/>
    <col min="5" max="6" width="14.7109375" bestFit="1" customWidth="1"/>
  </cols>
  <sheetData>
    <row r="1" spans="1:6" ht="18.75">
      <c r="A1" s="23" t="s">
        <v>604</v>
      </c>
    </row>
    <row r="2" spans="1:6" ht="15.75" thickBot="1"/>
    <row r="3" spans="1:6" ht="15.75" thickBot="1">
      <c r="A3" s="96"/>
      <c r="B3" s="586" t="s">
        <v>434</v>
      </c>
      <c r="C3" s="585">
        <v>2017</v>
      </c>
      <c r="D3" s="585">
        <v>2018</v>
      </c>
      <c r="E3" s="585">
        <v>2019</v>
      </c>
      <c r="F3" s="585">
        <v>2020</v>
      </c>
    </row>
    <row r="4" spans="1:6">
      <c r="A4" s="96" t="s">
        <v>438</v>
      </c>
      <c r="B4" s="587"/>
      <c r="C4" s="587"/>
      <c r="D4" s="587"/>
      <c r="E4" s="587"/>
      <c r="F4" s="587"/>
    </row>
    <row r="5" spans="1:6">
      <c r="A5" s="96"/>
      <c r="B5" s="79"/>
      <c r="C5" s="79"/>
      <c r="D5" s="79"/>
      <c r="E5" s="79"/>
      <c r="F5" s="79"/>
    </row>
    <row r="6" spans="1:6">
      <c r="A6" s="590" t="s">
        <v>206</v>
      </c>
      <c r="B6" s="588"/>
      <c r="C6" s="588"/>
      <c r="D6" s="588"/>
      <c r="E6" s="588"/>
      <c r="F6" s="588"/>
    </row>
    <row r="7" spans="1:6">
      <c r="A7" s="591" t="s">
        <v>430</v>
      </c>
      <c r="B7" s="589">
        <v>0.04</v>
      </c>
      <c r="C7" s="589">
        <v>6.4000000000000001E-2</v>
      </c>
      <c r="D7" s="589">
        <v>6.7000000000000004E-2</v>
      </c>
      <c r="E7" s="589"/>
      <c r="F7" s="589"/>
    </row>
    <row r="8" spans="1:6">
      <c r="A8" s="591" t="s">
        <v>431</v>
      </c>
      <c r="B8" s="589">
        <v>0.06</v>
      </c>
      <c r="C8" s="589">
        <v>2.7E-2</v>
      </c>
      <c r="D8" s="589">
        <v>4.4999999999999998E-2</v>
      </c>
      <c r="E8" s="589"/>
      <c r="F8" s="589"/>
    </row>
    <row r="9" spans="1:6">
      <c r="A9" s="591" t="s">
        <v>432</v>
      </c>
      <c r="B9" s="589">
        <v>0.04</v>
      </c>
      <c r="C9" s="589">
        <v>3.6999999999999998E-2</v>
      </c>
      <c r="D9" s="589">
        <v>0.104</v>
      </c>
      <c r="E9" s="589"/>
      <c r="F9" s="589"/>
    </row>
    <row r="10" spans="1:6">
      <c r="B10" s="68"/>
      <c r="C10" s="68"/>
      <c r="D10" s="68"/>
      <c r="E10" s="68"/>
      <c r="F10" s="68"/>
    </row>
    <row r="11" spans="1:6">
      <c r="A11" s="590" t="s">
        <v>433</v>
      </c>
      <c r="B11" s="589"/>
      <c r="C11" s="589"/>
      <c r="D11" s="589"/>
      <c r="E11" s="589"/>
      <c r="F11" s="589"/>
    </row>
    <row r="12" spans="1:6">
      <c r="A12" s="591" t="s">
        <v>435</v>
      </c>
      <c r="B12" s="589"/>
      <c r="C12" s="589">
        <v>0.05</v>
      </c>
      <c r="D12" s="589">
        <v>5.1999999999999998E-2</v>
      </c>
      <c r="E12" s="589"/>
      <c r="F12" s="589"/>
    </row>
    <row r="13" spans="1:6">
      <c r="A13" s="591" t="s">
        <v>436</v>
      </c>
      <c r="B13" s="589"/>
      <c r="C13" s="589">
        <v>0.33600000000000002</v>
      </c>
      <c r="D13" s="589">
        <v>0.32600000000000001</v>
      </c>
      <c r="E13" s="589"/>
      <c r="F13" s="589"/>
    </row>
    <row r="14" spans="1:6">
      <c r="A14" s="591" t="s">
        <v>437</v>
      </c>
      <c r="B14" s="589"/>
      <c r="C14" s="589">
        <v>0.06</v>
      </c>
      <c r="D14" s="589">
        <v>6.5000000000000002E-2</v>
      </c>
      <c r="E14" s="589"/>
      <c r="F14" s="589"/>
    </row>
    <row r="15" spans="1:6">
      <c r="B15" s="68"/>
      <c r="C15" s="68"/>
      <c r="D15" s="68"/>
      <c r="E15" s="68"/>
      <c r="F15" s="68"/>
    </row>
    <row r="16" spans="1:6">
      <c r="B16" s="63"/>
      <c r="C16" s="63"/>
      <c r="D16" s="63"/>
      <c r="E16" s="63"/>
      <c r="F16" s="63"/>
    </row>
    <row r="17" spans="1:6">
      <c r="B17" s="39"/>
      <c r="C17" s="39"/>
      <c r="D17" s="39"/>
      <c r="E17" s="39"/>
      <c r="F17" s="39"/>
    </row>
    <row r="18" spans="1:6">
      <c r="A18" s="3" t="s">
        <v>439</v>
      </c>
      <c r="B18" s="39"/>
      <c r="C18" s="39"/>
      <c r="D18" s="39"/>
      <c r="E18" s="39"/>
      <c r="F18" s="39"/>
    </row>
    <row r="19" spans="1:6">
      <c r="A19" t="s">
        <v>58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W12"/>
  <sheetViews>
    <sheetView workbookViewId="0">
      <pane xSplit="1" topLeftCell="K1" activePane="topRight" state="frozen"/>
      <selection pane="topRight" activeCell="Q14" sqref="Q14"/>
    </sheetView>
  </sheetViews>
  <sheetFormatPr defaultColWidth="8.85546875" defaultRowHeight="15"/>
  <cols>
    <col min="1" max="1" width="18.140625" style="785" bestFit="1" customWidth="1"/>
    <col min="2" max="2" width="11.140625" customWidth="1"/>
    <col min="3" max="3" width="12.42578125" customWidth="1"/>
    <col min="4" max="4" width="13.85546875" customWidth="1"/>
    <col min="5" max="5" width="13.140625" customWidth="1"/>
    <col min="6" max="6" width="11.140625" customWidth="1"/>
    <col min="7" max="7" width="14" customWidth="1"/>
    <col min="8" max="8" width="12.42578125" customWidth="1"/>
    <col min="9" max="9" width="11.140625" customWidth="1"/>
    <col min="10" max="10" width="14" customWidth="1"/>
    <col min="11" max="11" width="12.42578125" customWidth="1"/>
    <col min="12" max="12" width="12.28515625" customWidth="1"/>
    <col min="13" max="22" width="14.28515625" customWidth="1"/>
  </cols>
  <sheetData>
    <row r="1" spans="1:23" ht="18.600000000000001" customHeight="1">
      <c r="A1" s="780" t="s">
        <v>116</v>
      </c>
      <c r="B1" s="6"/>
      <c r="C1" s="6"/>
      <c r="D1" s="6"/>
      <c r="E1" s="6"/>
      <c r="F1" s="6"/>
      <c r="G1" s="6"/>
      <c r="H1" s="6"/>
      <c r="I1" s="6"/>
      <c r="J1" s="6"/>
    </row>
    <row r="2" spans="1:23" ht="14.45" customHeight="1" thickBot="1">
      <c r="A2" s="781"/>
      <c r="B2" s="6"/>
      <c r="C2" s="6"/>
      <c r="D2" s="6"/>
      <c r="E2" s="6"/>
      <c r="F2" s="6"/>
      <c r="G2" s="6"/>
      <c r="H2" s="6"/>
      <c r="I2" s="6"/>
      <c r="J2" s="6"/>
    </row>
    <row r="3" spans="1:23" s="53" customFormat="1" ht="19.350000000000001" customHeight="1" thickBot="1">
      <c r="A3" s="782"/>
      <c r="B3" s="870">
        <v>2012</v>
      </c>
      <c r="C3" s="871"/>
      <c r="D3" s="872"/>
      <c r="E3" s="870">
        <v>2013</v>
      </c>
      <c r="F3" s="871">
        <v>2013</v>
      </c>
      <c r="G3" s="872">
        <v>2013</v>
      </c>
      <c r="H3" s="870">
        <v>2014</v>
      </c>
      <c r="I3" s="871">
        <v>2014</v>
      </c>
      <c r="J3" s="872">
        <v>2014</v>
      </c>
      <c r="K3" s="870">
        <v>2015</v>
      </c>
      <c r="L3" s="871">
        <v>2015</v>
      </c>
      <c r="M3" s="872">
        <v>2015</v>
      </c>
      <c r="N3" s="870">
        <v>2016</v>
      </c>
      <c r="O3" s="871">
        <v>2015</v>
      </c>
      <c r="P3" s="872">
        <v>2015</v>
      </c>
      <c r="Q3" s="870">
        <v>2017</v>
      </c>
      <c r="R3" s="871">
        <v>2015</v>
      </c>
      <c r="S3" s="872">
        <v>2015</v>
      </c>
      <c r="T3" s="870">
        <v>2018</v>
      </c>
      <c r="U3" s="871">
        <v>2015</v>
      </c>
      <c r="V3" s="872">
        <v>2015</v>
      </c>
    </row>
    <row r="4" spans="1:23" s="44" customFormat="1" ht="45">
      <c r="A4" s="783"/>
      <c r="B4" s="52" t="s">
        <v>127</v>
      </c>
      <c r="C4" s="52" t="s">
        <v>128</v>
      </c>
      <c r="D4" s="52" t="s">
        <v>132</v>
      </c>
      <c r="E4" s="52" t="s">
        <v>127</v>
      </c>
      <c r="F4" s="52" t="s">
        <v>128</v>
      </c>
      <c r="G4" s="52" t="s">
        <v>132</v>
      </c>
      <c r="H4" s="52" t="s">
        <v>127</v>
      </c>
      <c r="I4" s="52" t="s">
        <v>128</v>
      </c>
      <c r="J4" s="52" t="s">
        <v>132</v>
      </c>
      <c r="K4" s="52" t="s">
        <v>127</v>
      </c>
      <c r="L4" s="52" t="s">
        <v>128</v>
      </c>
      <c r="M4" s="52" t="s">
        <v>132</v>
      </c>
      <c r="N4" s="52" t="s">
        <v>127</v>
      </c>
      <c r="O4" s="52" t="s">
        <v>128</v>
      </c>
      <c r="P4" s="52" t="s">
        <v>132</v>
      </c>
      <c r="Q4" s="52" t="s">
        <v>127</v>
      </c>
      <c r="R4" s="52" t="s">
        <v>128</v>
      </c>
      <c r="S4" s="52" t="s">
        <v>132</v>
      </c>
      <c r="T4" s="52" t="s">
        <v>127</v>
      </c>
      <c r="U4" s="52" t="s">
        <v>128</v>
      </c>
      <c r="V4" s="52" t="s">
        <v>132</v>
      </c>
    </row>
    <row r="5" spans="1:23" ht="15.75">
      <c r="A5" s="784" t="s">
        <v>26</v>
      </c>
      <c r="B5" s="16">
        <v>2946355</v>
      </c>
      <c r="C5" s="16">
        <v>165215</v>
      </c>
      <c r="D5" s="39">
        <v>5.6</v>
      </c>
      <c r="E5" s="16">
        <v>2958595</v>
      </c>
      <c r="F5" s="16">
        <v>146833</v>
      </c>
      <c r="G5" s="77">
        <v>5</v>
      </c>
      <c r="H5" s="16">
        <v>2973073</v>
      </c>
      <c r="I5" s="16">
        <v>124055</v>
      </c>
      <c r="J5">
        <v>4.2</v>
      </c>
      <c r="K5" s="16">
        <v>2998352</v>
      </c>
      <c r="L5" s="16">
        <v>110669</v>
      </c>
      <c r="M5">
        <v>3.7</v>
      </c>
      <c r="N5" s="16">
        <v>3036278</v>
      </c>
      <c r="O5" s="16">
        <v>117180</v>
      </c>
      <c r="P5" s="65">
        <v>3.9</v>
      </c>
      <c r="Q5" s="16">
        <v>3063604</v>
      </c>
      <c r="R5" s="16">
        <v>105766</v>
      </c>
      <c r="S5" s="65">
        <v>3.5</v>
      </c>
      <c r="T5" s="16">
        <v>3070223</v>
      </c>
      <c r="U5" s="16">
        <v>89338</v>
      </c>
      <c r="V5" s="65">
        <v>2.9</v>
      </c>
      <c r="W5" t="s">
        <v>199</v>
      </c>
    </row>
    <row r="6" spans="1:23">
      <c r="B6" s="39"/>
      <c r="C6" s="39"/>
      <c r="D6" s="39"/>
      <c r="E6" s="39"/>
      <c r="F6" s="39"/>
      <c r="G6" s="39"/>
      <c r="H6" s="39"/>
      <c r="I6" s="39"/>
      <c r="J6" s="39"/>
      <c r="K6" s="39"/>
      <c r="N6" s="39"/>
      <c r="Q6" s="39"/>
      <c r="T6" s="39"/>
      <c r="W6" t="s">
        <v>300</v>
      </c>
    </row>
    <row r="7" spans="1:23" ht="15.75">
      <c r="A7" s="784" t="s">
        <v>29</v>
      </c>
      <c r="B7" s="16">
        <v>78892</v>
      </c>
      <c r="C7" s="16">
        <v>3649</v>
      </c>
      <c r="D7" s="39">
        <v>4.4000000000000004</v>
      </c>
      <c r="E7" s="16">
        <v>79951</v>
      </c>
      <c r="F7" s="16">
        <v>3332</v>
      </c>
      <c r="G7" s="77">
        <v>4</v>
      </c>
      <c r="H7" s="16">
        <v>79868</v>
      </c>
      <c r="I7" s="16">
        <v>2859</v>
      </c>
      <c r="J7">
        <v>3.5</v>
      </c>
      <c r="K7" s="16">
        <v>80811</v>
      </c>
      <c r="L7" s="16">
        <v>2448</v>
      </c>
      <c r="M7">
        <v>2.9</v>
      </c>
      <c r="N7" s="16">
        <v>81780</v>
      </c>
      <c r="O7" s="16">
        <v>2533</v>
      </c>
      <c r="P7" s="65">
        <v>3</v>
      </c>
      <c r="Q7" s="16">
        <v>82682</v>
      </c>
      <c r="R7" s="16">
        <v>2400</v>
      </c>
      <c r="S7" s="65">
        <v>2.8</v>
      </c>
      <c r="T7" s="16">
        <v>87757</v>
      </c>
      <c r="U7" s="16">
        <v>2009</v>
      </c>
      <c r="V7" s="65">
        <v>2.2999999999999998</v>
      </c>
      <c r="W7" t="s">
        <v>199</v>
      </c>
    </row>
    <row r="8" spans="1:23">
      <c r="B8" s="39"/>
      <c r="C8" s="39"/>
      <c r="D8" s="39"/>
      <c r="E8" s="39"/>
      <c r="F8" s="39"/>
      <c r="G8" s="39"/>
      <c r="H8" s="39"/>
      <c r="I8" s="39"/>
      <c r="J8" s="39"/>
      <c r="K8" s="39"/>
      <c r="N8" s="39"/>
      <c r="Q8" s="39"/>
      <c r="T8" s="39"/>
      <c r="W8" t="s">
        <v>300</v>
      </c>
    </row>
    <row r="9" spans="1:23" ht="15.75">
      <c r="A9" s="784" t="s">
        <v>27</v>
      </c>
      <c r="B9" s="16">
        <v>57932</v>
      </c>
      <c r="C9" s="16">
        <v>2666</v>
      </c>
      <c r="D9" s="39">
        <v>4.4000000000000004</v>
      </c>
      <c r="E9" s="16">
        <v>58763</v>
      </c>
      <c r="F9" s="16">
        <v>2477</v>
      </c>
      <c r="G9" s="77">
        <v>4</v>
      </c>
      <c r="H9" s="16">
        <v>58635</v>
      </c>
      <c r="I9" s="16">
        <v>2140</v>
      </c>
      <c r="J9">
        <v>3.5</v>
      </c>
      <c r="K9" s="16">
        <v>59313</v>
      </c>
      <c r="L9" s="16">
        <v>1787</v>
      </c>
      <c r="M9">
        <v>2.9</v>
      </c>
      <c r="N9" s="16">
        <v>60024</v>
      </c>
      <c r="O9" s="16">
        <v>1829</v>
      </c>
      <c r="P9" s="65">
        <v>3</v>
      </c>
      <c r="Q9" s="16">
        <v>60686</v>
      </c>
      <c r="R9" s="16">
        <v>1710</v>
      </c>
      <c r="S9" s="65">
        <v>2.7</v>
      </c>
      <c r="T9" s="16">
        <v>63698</v>
      </c>
      <c r="U9" s="16">
        <v>1465</v>
      </c>
      <c r="V9" s="65">
        <v>2.2999999999999998</v>
      </c>
      <c r="W9" t="s">
        <v>199</v>
      </c>
    </row>
    <row r="10" spans="1:23">
      <c r="W10" t="s">
        <v>300</v>
      </c>
    </row>
    <row r="11" spans="1:23">
      <c r="E11" t="s">
        <v>6</v>
      </c>
      <c r="J11" s="31"/>
    </row>
    <row r="12" spans="1:23">
      <c r="A12" s="785" t="s">
        <v>203</v>
      </c>
    </row>
  </sheetData>
  <mergeCells count="7">
    <mergeCell ref="Q3:S3"/>
    <mergeCell ref="T3:V3"/>
    <mergeCell ref="B3:D3"/>
    <mergeCell ref="E3:G3"/>
    <mergeCell ref="H3:J3"/>
    <mergeCell ref="K3:M3"/>
    <mergeCell ref="N3:P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W34"/>
  <sheetViews>
    <sheetView workbookViewId="0">
      <pane xSplit="1" topLeftCell="J1" activePane="topRight" state="frozen"/>
      <selection activeCell="B1" sqref="B1"/>
      <selection pane="topRight" activeCell="W32" sqref="W32"/>
    </sheetView>
  </sheetViews>
  <sheetFormatPr defaultColWidth="8.85546875" defaultRowHeight="15"/>
  <cols>
    <col min="1" max="1" width="38.140625" bestFit="1" customWidth="1"/>
    <col min="2" max="2" width="12.28515625" customWidth="1"/>
    <col min="3" max="3" width="16.7109375" style="15" customWidth="1"/>
    <col min="4" max="4" width="6.7109375" style="39" bestFit="1" customWidth="1"/>
    <col min="5" max="5" width="11.28515625" customWidth="1"/>
    <col min="6" max="6" width="15.42578125" style="15" bestFit="1" customWidth="1"/>
    <col min="7" max="7" width="6.7109375" style="39" bestFit="1" customWidth="1"/>
    <col min="8" max="8" width="10" customWidth="1"/>
    <col min="9" max="9" width="15.42578125" style="15" bestFit="1" customWidth="1"/>
    <col min="10" max="10" width="7" bestFit="1" customWidth="1"/>
    <col min="11" max="11" width="10.42578125" customWidth="1"/>
    <col min="12" max="12" width="15.42578125" customWidth="1"/>
    <col min="13" max="13" width="7" customWidth="1"/>
    <col min="14" max="14" width="10" bestFit="1" customWidth="1"/>
    <col min="15" max="15" width="17.140625" customWidth="1"/>
    <col min="16" max="16" width="7.42578125" customWidth="1"/>
    <col min="17" max="17" width="10" bestFit="1" customWidth="1"/>
    <col min="18" max="18" width="17.140625" customWidth="1"/>
    <col min="19" max="19" width="7.42578125" customWidth="1"/>
    <col min="20" max="20" width="10" bestFit="1" customWidth="1"/>
    <col min="21" max="21" width="17.140625" customWidth="1"/>
    <col min="22" max="22" width="7.42578125" customWidth="1"/>
    <col min="23" max="23" width="18.85546875" customWidth="1"/>
  </cols>
  <sheetData>
    <row r="1" spans="1:23" ht="18.75">
      <c r="A1" s="23" t="s">
        <v>117</v>
      </c>
    </row>
    <row r="2" spans="1:23" ht="15" customHeight="1" thickBot="1"/>
    <row r="3" spans="1:23" s="54" customFormat="1" ht="18" customHeight="1" thickBot="1">
      <c r="B3" s="907">
        <v>2012</v>
      </c>
      <c r="C3" s="908"/>
      <c r="D3" s="909"/>
      <c r="E3" s="905">
        <v>2013</v>
      </c>
      <c r="F3" s="905">
        <v>2013</v>
      </c>
      <c r="G3" s="906"/>
      <c r="H3" s="907">
        <v>2014</v>
      </c>
      <c r="I3" s="908">
        <v>2014</v>
      </c>
      <c r="J3" s="909"/>
      <c r="K3" s="904">
        <v>2015</v>
      </c>
      <c r="L3" s="905">
        <v>2014</v>
      </c>
      <c r="M3" s="906"/>
      <c r="N3" s="907">
        <v>2016</v>
      </c>
      <c r="O3" s="908">
        <v>2014</v>
      </c>
      <c r="P3" s="909"/>
      <c r="Q3" s="904">
        <v>2017</v>
      </c>
      <c r="R3" s="905">
        <v>2014</v>
      </c>
      <c r="S3" s="906"/>
      <c r="T3" s="907">
        <v>2018</v>
      </c>
      <c r="U3" s="908">
        <v>2014</v>
      </c>
      <c r="V3" s="909"/>
      <c r="W3" s="59" t="s">
        <v>76</v>
      </c>
    </row>
    <row r="4" spans="1:23" s="21" customFormat="1" ht="30.75" thickBot="1">
      <c r="A4" s="78" t="s">
        <v>26</v>
      </c>
      <c r="B4" s="473" t="s">
        <v>103</v>
      </c>
      <c r="C4" s="396" t="s">
        <v>158</v>
      </c>
      <c r="D4" s="474" t="s">
        <v>122</v>
      </c>
      <c r="E4" s="475" t="s">
        <v>103</v>
      </c>
      <c r="F4" s="398" t="s">
        <v>158</v>
      </c>
      <c r="G4" s="476" t="s">
        <v>122</v>
      </c>
      <c r="H4" s="473" t="s">
        <v>103</v>
      </c>
      <c r="I4" s="396" t="s">
        <v>158</v>
      </c>
      <c r="J4" s="474" t="s">
        <v>122</v>
      </c>
      <c r="K4" s="475" t="s">
        <v>103</v>
      </c>
      <c r="L4" s="398" t="s">
        <v>158</v>
      </c>
      <c r="M4" s="476" t="s">
        <v>122</v>
      </c>
      <c r="N4" s="473" t="s">
        <v>103</v>
      </c>
      <c r="O4" s="396" t="s">
        <v>158</v>
      </c>
      <c r="P4" s="474" t="s">
        <v>122</v>
      </c>
      <c r="Q4" s="475" t="s">
        <v>103</v>
      </c>
      <c r="R4" s="398" t="s">
        <v>158</v>
      </c>
      <c r="S4" s="476" t="s">
        <v>122</v>
      </c>
      <c r="T4" s="473" t="s">
        <v>103</v>
      </c>
      <c r="U4" s="396" t="s">
        <v>158</v>
      </c>
      <c r="V4" s="474" t="s">
        <v>122</v>
      </c>
    </row>
    <row r="5" spans="1:23">
      <c r="A5" s="50" t="s">
        <v>97</v>
      </c>
      <c r="B5" s="386">
        <v>3600744</v>
      </c>
      <c r="C5" s="465">
        <v>3144</v>
      </c>
      <c r="D5" s="470">
        <v>1</v>
      </c>
      <c r="E5" s="375">
        <v>3629333</v>
      </c>
      <c r="F5" s="463">
        <v>3663</v>
      </c>
      <c r="G5" s="472">
        <v>1</v>
      </c>
      <c r="H5" s="386">
        <v>3672583</v>
      </c>
      <c r="I5" s="465">
        <v>3319</v>
      </c>
      <c r="J5" s="470">
        <v>1</v>
      </c>
      <c r="K5" s="375">
        <v>3700935</v>
      </c>
      <c r="L5" s="463">
        <v>3137</v>
      </c>
      <c r="M5" s="472">
        <f t="shared" ref="M5:M10" si="0">K5/$K$5</f>
        <v>1</v>
      </c>
      <c r="N5" s="386">
        <v>3725283</v>
      </c>
      <c r="O5" s="465">
        <v>4171</v>
      </c>
      <c r="P5" s="469">
        <f t="shared" ref="P5:P10" si="1">N5/$N$5</f>
        <v>1</v>
      </c>
      <c r="Q5" s="375">
        <v>3778416</v>
      </c>
      <c r="R5" s="463">
        <v>3685</v>
      </c>
      <c r="S5" s="464">
        <f t="shared" ref="S5:S10" si="2">Q5/$N$5</f>
        <v>1.0142628090268577</v>
      </c>
      <c r="T5" s="386">
        <v>3809229</v>
      </c>
      <c r="U5" s="465">
        <v>3716</v>
      </c>
      <c r="V5" s="469">
        <f>T5/T5</f>
        <v>1</v>
      </c>
      <c r="W5" t="s">
        <v>125</v>
      </c>
    </row>
    <row r="6" spans="1:23">
      <c r="A6" s="50" t="s">
        <v>98</v>
      </c>
      <c r="B6" s="342">
        <v>270170</v>
      </c>
      <c r="C6" s="441">
        <v>6957</v>
      </c>
      <c r="D6" s="467">
        <f>B6/B$5</f>
        <v>7.5031715667650906E-2</v>
      </c>
      <c r="E6" s="358">
        <v>274705</v>
      </c>
      <c r="F6" s="432">
        <v>6926</v>
      </c>
      <c r="G6" s="461">
        <f>E6/E$5</f>
        <v>7.5690216356559176E-2</v>
      </c>
      <c r="H6" s="342">
        <v>272508</v>
      </c>
      <c r="I6" s="441">
        <v>6328</v>
      </c>
      <c r="J6" s="467">
        <f>H6/H$5</f>
        <v>7.4200637534944755E-2</v>
      </c>
      <c r="K6" s="358">
        <v>267306</v>
      </c>
      <c r="L6" s="432">
        <v>6962</v>
      </c>
      <c r="M6" s="461">
        <f t="shared" si="0"/>
        <v>7.2226613004551549E-2</v>
      </c>
      <c r="N6" s="342">
        <v>263888</v>
      </c>
      <c r="O6" s="466">
        <v>7508</v>
      </c>
      <c r="P6" s="467">
        <f t="shared" si="1"/>
        <v>7.0837034394433923E-2</v>
      </c>
      <c r="Q6" s="358">
        <v>261634</v>
      </c>
      <c r="R6" s="460">
        <v>8485</v>
      </c>
      <c r="S6" s="461">
        <f t="shared" si="2"/>
        <v>7.0231979691207355E-2</v>
      </c>
      <c r="T6" s="342">
        <v>252805</v>
      </c>
      <c r="U6" s="466">
        <v>7381</v>
      </c>
      <c r="V6" s="467">
        <f>T6/T5</f>
        <v>6.6366448433528152E-2</v>
      </c>
      <c r="W6" t="s">
        <v>125</v>
      </c>
    </row>
    <row r="7" spans="1:23">
      <c r="A7" s="50" t="s">
        <v>99</v>
      </c>
      <c r="B7" s="342">
        <v>952141</v>
      </c>
      <c r="C7" s="441">
        <v>11450</v>
      </c>
      <c r="D7" s="467">
        <f>B7/B$5</f>
        <v>0.2644289624588696</v>
      </c>
      <c r="E7" s="358">
        <v>955079</v>
      </c>
      <c r="F7" s="432">
        <v>10697</v>
      </c>
      <c r="G7" s="461">
        <f>E7/E$5</f>
        <v>0.26315551645440083</v>
      </c>
      <c r="H7" s="342">
        <v>943377</v>
      </c>
      <c r="I7" s="441">
        <v>11816</v>
      </c>
      <c r="J7" s="467">
        <f>H7/H$5</f>
        <v>0.2568701646770134</v>
      </c>
      <c r="K7" s="358">
        <v>941170</v>
      </c>
      <c r="L7" s="432">
        <v>10998</v>
      </c>
      <c r="M7" s="461">
        <f t="shared" si="0"/>
        <v>0.25430600645512552</v>
      </c>
      <c r="N7" s="342">
        <v>937937</v>
      </c>
      <c r="O7" s="441">
        <v>13211</v>
      </c>
      <c r="P7" s="467">
        <f t="shared" si="1"/>
        <v>0.25177603956531625</v>
      </c>
      <c r="Q7" s="358">
        <v>938908</v>
      </c>
      <c r="R7" s="432">
        <v>13758</v>
      </c>
      <c r="S7" s="461">
        <f t="shared" si="2"/>
        <v>0.25203669090375147</v>
      </c>
      <c r="T7" s="342">
        <v>921287</v>
      </c>
      <c r="U7" s="441">
        <v>12474</v>
      </c>
      <c r="V7" s="467">
        <f>T7/T5</f>
        <v>0.24185655417408614</v>
      </c>
      <c r="W7" t="s">
        <v>125</v>
      </c>
    </row>
    <row r="8" spans="1:23">
      <c r="A8" s="50" t="s">
        <v>100</v>
      </c>
      <c r="B8" s="342">
        <v>1183093</v>
      </c>
      <c r="C8" s="441">
        <v>13432</v>
      </c>
      <c r="D8" s="467">
        <f>B8/B$5</f>
        <v>0.32856904017614136</v>
      </c>
      <c r="E8" s="358">
        <v>1182666</v>
      </c>
      <c r="F8" s="432">
        <v>12853</v>
      </c>
      <c r="G8" s="461">
        <f>E8/E$5</f>
        <v>0.32586318202270226</v>
      </c>
      <c r="H8" s="342">
        <v>1198164</v>
      </c>
      <c r="I8" s="441">
        <v>10871</v>
      </c>
      <c r="J8" s="467">
        <f>H8/H$5</f>
        <v>0.32624558791455494</v>
      </c>
      <c r="K8" s="358">
        <v>1208452</v>
      </c>
      <c r="L8" s="432">
        <v>12517</v>
      </c>
      <c r="M8" s="461">
        <f t="shared" si="0"/>
        <v>0.32652613461192914</v>
      </c>
      <c r="N8" s="342">
        <v>1226474</v>
      </c>
      <c r="O8" s="466">
        <v>12572</v>
      </c>
      <c r="P8" s="467">
        <f t="shared" si="1"/>
        <v>0.32922975247786546</v>
      </c>
      <c r="Q8" s="358">
        <v>1215748</v>
      </c>
      <c r="R8" s="460">
        <v>14680</v>
      </c>
      <c r="S8" s="461">
        <f t="shared" si="2"/>
        <v>0.32635050813589195</v>
      </c>
      <c r="T8" s="342">
        <v>1237009</v>
      </c>
      <c r="U8" s="466">
        <v>12671</v>
      </c>
      <c r="V8" s="467">
        <f>T8/T5</f>
        <v>0.32473999331623277</v>
      </c>
      <c r="W8" t="s">
        <v>125</v>
      </c>
    </row>
    <row r="9" spans="1:23">
      <c r="A9" s="50" t="s">
        <v>101</v>
      </c>
      <c r="B9" s="342">
        <v>807626</v>
      </c>
      <c r="C9" s="441">
        <v>12224</v>
      </c>
      <c r="D9" s="467">
        <f>B9/B$5</f>
        <v>0.22429420142059531</v>
      </c>
      <c r="E9" s="358">
        <v>813237</v>
      </c>
      <c r="F9" s="432">
        <v>10418</v>
      </c>
      <c r="G9" s="461">
        <f>E9/E$5</f>
        <v>0.22407340412136334</v>
      </c>
      <c r="H9" s="342">
        <v>834094</v>
      </c>
      <c r="I9" s="441">
        <v>10954</v>
      </c>
      <c r="J9" s="467">
        <f>H9/H$5</f>
        <v>0.22711372350196032</v>
      </c>
      <c r="K9" s="358">
        <v>847584</v>
      </c>
      <c r="L9" s="432">
        <v>11464</v>
      </c>
      <c r="M9" s="461">
        <f t="shared" si="0"/>
        <v>0.22901888306603602</v>
      </c>
      <c r="N9" s="342">
        <v>860125</v>
      </c>
      <c r="O9" s="441">
        <v>12101</v>
      </c>
      <c r="P9" s="467">
        <f t="shared" si="1"/>
        <v>0.23088849894088584</v>
      </c>
      <c r="Q9" s="358">
        <v>888880</v>
      </c>
      <c r="R9" s="432">
        <v>12034</v>
      </c>
      <c r="S9" s="461">
        <f t="shared" si="2"/>
        <v>0.23860737560072617</v>
      </c>
      <c r="T9" s="342">
        <v>920850</v>
      </c>
      <c r="U9" s="441">
        <v>12643</v>
      </c>
      <c r="V9" s="467">
        <f>T9/T5</f>
        <v>0.24174183279608552</v>
      </c>
      <c r="W9" t="s">
        <v>125</v>
      </c>
    </row>
    <row r="10" spans="1:23" ht="15.75" thickBot="1">
      <c r="A10" s="50" t="s">
        <v>102</v>
      </c>
      <c r="B10" s="343">
        <v>387714</v>
      </c>
      <c r="C10" s="450">
        <v>8686</v>
      </c>
      <c r="D10" s="468">
        <f>B10/B$5</f>
        <v>0.1076760802767428</v>
      </c>
      <c r="E10" s="360">
        <v>403646</v>
      </c>
      <c r="F10" s="451">
        <v>8077</v>
      </c>
      <c r="G10" s="462">
        <f>E10/E$5</f>
        <v>0.11121768104497438</v>
      </c>
      <c r="H10" s="343">
        <v>424440</v>
      </c>
      <c r="I10" s="450">
        <v>7025</v>
      </c>
      <c r="J10" s="468">
        <f>H10/H$5</f>
        <v>0.11556988637152653</v>
      </c>
      <c r="K10" s="360">
        <v>436423</v>
      </c>
      <c r="L10" s="451">
        <v>8291</v>
      </c>
      <c r="M10" s="462">
        <f t="shared" si="0"/>
        <v>0.11792236286235776</v>
      </c>
      <c r="N10" s="343">
        <v>436859</v>
      </c>
      <c r="O10" s="450">
        <v>9205</v>
      </c>
      <c r="P10" s="468">
        <f t="shared" si="1"/>
        <v>0.11726867462149855</v>
      </c>
      <c r="Q10" s="360">
        <v>473246</v>
      </c>
      <c r="R10" s="451">
        <v>8317</v>
      </c>
      <c r="S10" s="462">
        <f t="shared" si="2"/>
        <v>0.12703625469528088</v>
      </c>
      <c r="T10" s="343">
        <v>477278</v>
      </c>
      <c r="U10" s="450">
        <v>9573</v>
      </c>
      <c r="V10" s="468">
        <f>T10/T5</f>
        <v>0.12529517128006742</v>
      </c>
      <c r="W10" t="s">
        <v>125</v>
      </c>
    </row>
    <row r="11" spans="1:23">
      <c r="D11" s="471"/>
      <c r="G11" s="471"/>
      <c r="J11" s="73"/>
      <c r="L11" s="60"/>
      <c r="M11" s="73"/>
      <c r="O11" s="60"/>
      <c r="P11" s="73"/>
      <c r="R11" s="60"/>
      <c r="S11" s="73"/>
      <c r="U11" s="60"/>
      <c r="V11" s="73"/>
    </row>
    <row r="12" spans="1:23">
      <c r="D12" s="471"/>
      <c r="G12" s="471"/>
      <c r="J12" s="73"/>
      <c r="L12" s="60"/>
      <c r="M12" s="73"/>
      <c r="O12" s="60"/>
      <c r="P12" s="73"/>
      <c r="R12" s="60"/>
      <c r="S12" s="73"/>
      <c r="U12" s="60"/>
      <c r="V12" s="73"/>
    </row>
    <row r="13" spans="1:23" ht="16.5" thickBot="1">
      <c r="A13" s="27" t="s">
        <v>3</v>
      </c>
      <c r="D13" s="471"/>
      <c r="G13" s="471"/>
      <c r="J13" s="73"/>
      <c r="L13" s="60"/>
      <c r="M13" s="73"/>
      <c r="O13" s="60"/>
      <c r="P13" s="73"/>
      <c r="R13" s="60"/>
      <c r="S13" s="73"/>
      <c r="U13" s="60"/>
      <c r="V13" s="73"/>
    </row>
    <row r="14" spans="1:23">
      <c r="A14" s="50" t="s">
        <v>97</v>
      </c>
      <c r="B14" s="386">
        <v>98846</v>
      </c>
      <c r="C14" s="378">
        <v>771</v>
      </c>
      <c r="D14" s="470">
        <v>1</v>
      </c>
      <c r="E14" s="375">
        <v>100596</v>
      </c>
      <c r="F14" s="370">
        <v>719</v>
      </c>
      <c r="G14" s="472">
        <v>1</v>
      </c>
      <c r="H14" s="386">
        <v>102187</v>
      </c>
      <c r="I14" s="378">
        <v>526</v>
      </c>
      <c r="J14" s="470">
        <v>1</v>
      </c>
      <c r="K14" s="375">
        <v>102712</v>
      </c>
      <c r="L14" s="463">
        <v>825</v>
      </c>
      <c r="M14" s="472">
        <f t="shared" ref="M14:M19" si="3">K14/$K$14</f>
        <v>1</v>
      </c>
      <c r="N14" s="386">
        <v>103088</v>
      </c>
      <c r="O14" s="465">
        <v>723</v>
      </c>
      <c r="P14" s="469">
        <f t="shared" ref="P14:P19" si="4">N14/$N$14</f>
        <v>1</v>
      </c>
      <c r="Q14" s="375">
        <v>105285</v>
      </c>
      <c r="R14" s="463">
        <v>619</v>
      </c>
      <c r="S14" s="464">
        <f t="shared" ref="S14:S19" si="5">Q14/$N$14</f>
        <v>1.0213118888716437</v>
      </c>
      <c r="T14" s="382">
        <v>106125</v>
      </c>
      <c r="U14" s="465">
        <v>783</v>
      </c>
      <c r="V14" s="469">
        <f>T14/T14</f>
        <v>1</v>
      </c>
      <c r="W14" t="s">
        <v>125</v>
      </c>
    </row>
    <row r="15" spans="1:23">
      <c r="A15" s="50" t="s">
        <v>98</v>
      </c>
      <c r="B15" s="342">
        <v>5998</v>
      </c>
      <c r="C15" s="441">
        <v>1169</v>
      </c>
      <c r="D15" s="467">
        <f>B15/B$14</f>
        <v>6.068025008599235E-2</v>
      </c>
      <c r="E15" s="358">
        <v>4959</v>
      </c>
      <c r="F15" s="432">
        <v>1098</v>
      </c>
      <c r="G15" s="461">
        <f>E15/E$14</f>
        <v>4.9296194679708936E-2</v>
      </c>
      <c r="H15" s="342">
        <v>6220</v>
      </c>
      <c r="I15" s="441">
        <v>1072</v>
      </c>
      <c r="J15" s="467">
        <f>H15/H$14</f>
        <v>6.0868799358039676E-2</v>
      </c>
      <c r="K15" s="358">
        <v>5859</v>
      </c>
      <c r="L15" s="432">
        <v>1209</v>
      </c>
      <c r="M15" s="461">
        <f t="shared" si="3"/>
        <v>5.704299400264818E-2</v>
      </c>
      <c r="N15" s="342">
        <v>6137</v>
      </c>
      <c r="O15" s="466">
        <v>1235</v>
      </c>
      <c r="P15" s="467">
        <f t="shared" si="4"/>
        <v>5.9531662269129287E-2</v>
      </c>
      <c r="Q15" s="358">
        <v>4728</v>
      </c>
      <c r="R15" s="460">
        <v>878</v>
      </c>
      <c r="S15" s="461">
        <f t="shared" si="5"/>
        <v>4.5863728076982774E-2</v>
      </c>
      <c r="T15" s="346">
        <v>6118</v>
      </c>
      <c r="U15" s="466">
        <v>1307</v>
      </c>
      <c r="V15" s="467">
        <f>T15/T14</f>
        <v>5.76489988221437E-2</v>
      </c>
      <c r="W15" t="s">
        <v>125</v>
      </c>
    </row>
    <row r="16" spans="1:23">
      <c r="A16" s="50" t="s">
        <v>99</v>
      </c>
      <c r="B16" s="342">
        <v>20925</v>
      </c>
      <c r="C16" s="441">
        <v>1663</v>
      </c>
      <c r="D16" s="467">
        <f>B16/B$14</f>
        <v>0.21169293648706067</v>
      </c>
      <c r="E16" s="358">
        <v>22621</v>
      </c>
      <c r="F16" s="432">
        <v>1836</v>
      </c>
      <c r="G16" s="461">
        <f>E16/E$14</f>
        <v>0.22486977613423992</v>
      </c>
      <c r="H16" s="342">
        <v>20377</v>
      </c>
      <c r="I16" s="441">
        <v>1650</v>
      </c>
      <c r="J16" s="467">
        <f>H16/H$14</f>
        <v>0.19940892677150715</v>
      </c>
      <c r="K16" s="358">
        <v>20535</v>
      </c>
      <c r="L16" s="432">
        <v>1477</v>
      </c>
      <c r="M16" s="461">
        <f t="shared" si="3"/>
        <v>0.19992795389048992</v>
      </c>
      <c r="N16" s="342">
        <v>20124</v>
      </c>
      <c r="O16" s="441">
        <v>1978</v>
      </c>
      <c r="P16" s="467">
        <f t="shared" si="4"/>
        <v>0.19521185783020331</v>
      </c>
      <c r="Q16" s="358">
        <v>22617</v>
      </c>
      <c r="R16" s="432">
        <v>1921</v>
      </c>
      <c r="S16" s="461">
        <f t="shared" si="5"/>
        <v>0.21939507993170884</v>
      </c>
      <c r="T16" s="346">
        <v>19533</v>
      </c>
      <c r="U16" s="441">
        <v>2090</v>
      </c>
      <c r="V16" s="467">
        <f>T16/T14</f>
        <v>0.18405653710247349</v>
      </c>
      <c r="W16" t="s">
        <v>125</v>
      </c>
    </row>
    <row r="17" spans="1:23">
      <c r="A17" s="50" t="s">
        <v>100</v>
      </c>
      <c r="B17" s="342">
        <v>32675</v>
      </c>
      <c r="C17" s="441">
        <v>1900</v>
      </c>
      <c r="D17" s="467">
        <f>B17/B$14</f>
        <v>0.33056471683224409</v>
      </c>
      <c r="E17" s="358">
        <v>32032</v>
      </c>
      <c r="F17" s="432">
        <v>2030</v>
      </c>
      <c r="G17" s="461">
        <f>E17/E$14</f>
        <v>0.31842220366614976</v>
      </c>
      <c r="H17" s="342">
        <v>32169</v>
      </c>
      <c r="I17" s="441">
        <v>1985</v>
      </c>
      <c r="J17" s="467">
        <f>H17/H$14</f>
        <v>0.31480521005607365</v>
      </c>
      <c r="K17" s="358">
        <v>31999</v>
      </c>
      <c r="L17" s="432">
        <v>2156</v>
      </c>
      <c r="M17" s="461">
        <f t="shared" si="3"/>
        <v>0.31154100786665628</v>
      </c>
      <c r="N17" s="342">
        <v>32869</v>
      </c>
      <c r="O17" s="466">
        <v>2328</v>
      </c>
      <c r="P17" s="467">
        <f t="shared" si="4"/>
        <v>0.3188440943659786</v>
      </c>
      <c r="Q17" s="358">
        <v>29620</v>
      </c>
      <c r="R17" s="460">
        <v>2055</v>
      </c>
      <c r="S17" s="461">
        <f t="shared" si="5"/>
        <v>0.28732733198820426</v>
      </c>
      <c r="T17" s="346">
        <v>32245</v>
      </c>
      <c r="U17" s="466">
        <v>2298</v>
      </c>
      <c r="V17" s="467">
        <f>T17/T14</f>
        <v>0.30383981154299178</v>
      </c>
      <c r="W17" t="s">
        <v>125</v>
      </c>
    </row>
    <row r="18" spans="1:23">
      <c r="A18" s="50" t="s">
        <v>101</v>
      </c>
      <c r="B18" s="342">
        <v>24558</v>
      </c>
      <c r="C18" s="441">
        <v>1808</v>
      </c>
      <c r="D18" s="467">
        <f>B18/B$14</f>
        <v>0.24844707929506504</v>
      </c>
      <c r="E18" s="358">
        <v>24379</v>
      </c>
      <c r="F18" s="432">
        <v>1907</v>
      </c>
      <c r="G18" s="461">
        <f>E18/E$14</f>
        <v>0.24234562010417909</v>
      </c>
      <c r="H18" s="342">
        <v>23501</v>
      </c>
      <c r="I18" s="441">
        <v>1839</v>
      </c>
      <c r="J18" s="467">
        <f>H18/H$14</f>
        <v>0.22998033017898559</v>
      </c>
      <c r="K18" s="358">
        <v>23632</v>
      </c>
      <c r="L18" s="432">
        <v>1805</v>
      </c>
      <c r="M18" s="461">
        <f t="shared" si="3"/>
        <v>0.23008022431653555</v>
      </c>
      <c r="N18" s="342">
        <v>26943</v>
      </c>
      <c r="O18" s="441">
        <v>2328</v>
      </c>
      <c r="P18" s="467">
        <f t="shared" si="4"/>
        <v>0.26135922706813597</v>
      </c>
      <c r="Q18" s="358">
        <v>27683</v>
      </c>
      <c r="R18" s="432">
        <v>1830</v>
      </c>
      <c r="S18" s="461">
        <f t="shared" si="5"/>
        <v>0.26853756014279062</v>
      </c>
      <c r="T18" s="346">
        <v>27295</v>
      </c>
      <c r="U18" s="441">
        <v>2071</v>
      </c>
      <c r="V18" s="467">
        <f>T18/T14</f>
        <v>0.25719670200235573</v>
      </c>
      <c r="W18" t="s">
        <v>125</v>
      </c>
    </row>
    <row r="19" spans="1:23" ht="15.75" thickBot="1">
      <c r="A19" s="50" t="s">
        <v>102</v>
      </c>
      <c r="B19" s="343">
        <v>14690</v>
      </c>
      <c r="C19" s="450">
        <v>1618</v>
      </c>
      <c r="D19" s="468">
        <f>B19/B$14</f>
        <v>0.14861501729963783</v>
      </c>
      <c r="E19" s="360">
        <v>16605</v>
      </c>
      <c r="F19" s="451">
        <v>1671</v>
      </c>
      <c r="G19" s="462">
        <f>E19/E$14</f>
        <v>0.16506620541572228</v>
      </c>
      <c r="H19" s="343">
        <v>19920</v>
      </c>
      <c r="I19" s="450">
        <v>1875</v>
      </c>
      <c r="J19" s="468">
        <f>H19/H$14</f>
        <v>0.19493673363539393</v>
      </c>
      <c r="K19" s="360">
        <v>20687</v>
      </c>
      <c r="L19" s="451">
        <v>1691</v>
      </c>
      <c r="M19" s="462">
        <f t="shared" si="3"/>
        <v>0.20140781992367007</v>
      </c>
      <c r="N19" s="343">
        <v>17015</v>
      </c>
      <c r="O19" s="450">
        <v>1474</v>
      </c>
      <c r="P19" s="468">
        <f t="shared" si="4"/>
        <v>0.16505315846655286</v>
      </c>
      <c r="Q19" s="360">
        <v>20556</v>
      </c>
      <c r="R19" s="451">
        <v>1899</v>
      </c>
      <c r="S19" s="462">
        <f t="shared" si="5"/>
        <v>0.1994024522737855</v>
      </c>
      <c r="T19" s="367">
        <v>20934</v>
      </c>
      <c r="U19" s="450">
        <v>2252</v>
      </c>
      <c r="V19" s="468">
        <f>T19/T14</f>
        <v>0.19725795053003534</v>
      </c>
      <c r="W19" t="s">
        <v>125</v>
      </c>
    </row>
    <row r="20" spans="1:23">
      <c r="A20" s="43"/>
      <c r="D20" s="471"/>
      <c r="G20" s="471"/>
      <c r="J20" s="73"/>
      <c r="L20" s="60"/>
      <c r="M20" s="73"/>
      <c r="O20" s="60"/>
      <c r="P20" s="73"/>
      <c r="R20" s="60"/>
      <c r="S20" s="73"/>
      <c r="U20" s="60"/>
      <c r="V20" s="73"/>
    </row>
    <row r="21" spans="1:23" ht="16.5" thickBot="1">
      <c r="A21" s="27" t="s">
        <v>2</v>
      </c>
      <c r="D21" s="471"/>
      <c r="G21" s="471"/>
      <c r="J21" s="73"/>
      <c r="L21" s="60"/>
      <c r="M21" s="73"/>
      <c r="O21" s="60"/>
      <c r="P21" s="73"/>
      <c r="R21" s="60"/>
      <c r="S21" s="73"/>
      <c r="U21" s="60"/>
      <c r="V21" s="73"/>
    </row>
    <row r="22" spans="1:23">
      <c r="A22" s="50" t="s">
        <v>97</v>
      </c>
      <c r="B22" s="386">
        <v>73541</v>
      </c>
      <c r="C22" s="465">
        <v>1167</v>
      </c>
      <c r="D22" s="470">
        <v>1</v>
      </c>
      <c r="E22" s="375">
        <v>73996</v>
      </c>
      <c r="F22" s="463">
        <v>1316</v>
      </c>
      <c r="G22" s="472">
        <v>1</v>
      </c>
      <c r="H22" s="386">
        <v>76697</v>
      </c>
      <c r="I22" s="378">
        <v>960</v>
      </c>
      <c r="J22" s="470">
        <v>1</v>
      </c>
      <c r="K22" s="375">
        <v>74884</v>
      </c>
      <c r="L22" s="463">
        <v>1238</v>
      </c>
      <c r="M22" s="472">
        <f t="shared" ref="M22:M27" si="6">K22/$K$22</f>
        <v>1</v>
      </c>
      <c r="N22" s="386">
        <v>76193</v>
      </c>
      <c r="O22" s="465">
        <v>1339</v>
      </c>
      <c r="P22" s="469">
        <f t="shared" ref="P22:P27" si="7">N22/$N$22</f>
        <v>1</v>
      </c>
      <c r="Q22" s="375">
        <v>78270</v>
      </c>
      <c r="R22" s="463">
        <v>1182</v>
      </c>
      <c r="S22" s="464">
        <f t="shared" ref="S22:S27" si="8">Q22/$N$22</f>
        <v>1.0272597220217081</v>
      </c>
      <c r="T22" s="382">
        <v>81240</v>
      </c>
      <c r="U22" s="465">
        <v>1300</v>
      </c>
      <c r="V22" s="469">
        <f>T22/T22</f>
        <v>1</v>
      </c>
      <c r="W22" t="s">
        <v>125</v>
      </c>
    </row>
    <row r="23" spans="1:23">
      <c r="A23" s="50" t="s">
        <v>98</v>
      </c>
      <c r="B23" s="342">
        <v>4642</v>
      </c>
      <c r="C23" s="441">
        <v>1091</v>
      </c>
      <c r="D23" s="467">
        <f>B23/B$22</f>
        <v>6.3121252090670515E-2</v>
      </c>
      <c r="E23" s="358">
        <v>3854</v>
      </c>
      <c r="F23" s="357">
        <v>961</v>
      </c>
      <c r="G23" s="461">
        <f>E23/E$22</f>
        <v>5.2083896426833885E-2</v>
      </c>
      <c r="H23" s="342">
        <v>5315</v>
      </c>
      <c r="I23" s="441">
        <v>1032</v>
      </c>
      <c r="J23" s="467">
        <f>H23/H$22</f>
        <v>6.9298668787566658E-2</v>
      </c>
      <c r="K23" s="358">
        <v>4827</v>
      </c>
      <c r="L23" s="432">
        <v>1166</v>
      </c>
      <c r="M23" s="461">
        <f t="shared" si="6"/>
        <v>6.4459697665722987E-2</v>
      </c>
      <c r="N23" s="342">
        <v>5174</v>
      </c>
      <c r="O23" s="466">
        <v>1204</v>
      </c>
      <c r="P23" s="467">
        <f t="shared" si="7"/>
        <v>6.7906500597167713E-2</v>
      </c>
      <c r="Q23" s="358">
        <v>3621</v>
      </c>
      <c r="R23" s="460">
        <v>819</v>
      </c>
      <c r="S23" s="461">
        <f t="shared" si="8"/>
        <v>4.7524050765818379E-2</v>
      </c>
      <c r="T23" s="346">
        <v>5480</v>
      </c>
      <c r="U23" s="466">
        <v>1330</v>
      </c>
      <c r="V23" s="467">
        <f>T23/T22</f>
        <v>6.7454455933037907E-2</v>
      </c>
      <c r="W23" t="s">
        <v>125</v>
      </c>
    </row>
    <row r="24" spans="1:23">
      <c r="A24" s="50" t="s">
        <v>99</v>
      </c>
      <c r="B24" s="342">
        <v>14557</v>
      </c>
      <c r="C24" s="441">
        <v>1580</v>
      </c>
      <c r="D24" s="467">
        <f>B24/B$22</f>
        <v>0.19794400402496568</v>
      </c>
      <c r="E24" s="358">
        <v>15498</v>
      </c>
      <c r="F24" s="432">
        <v>1715</v>
      </c>
      <c r="G24" s="461">
        <f>E24/E$22</f>
        <v>0.2094437537164171</v>
      </c>
      <c r="H24" s="342">
        <v>14842</v>
      </c>
      <c r="I24" s="441">
        <v>1445</v>
      </c>
      <c r="J24" s="467">
        <f>H24/H$22</f>
        <v>0.19351473982033196</v>
      </c>
      <c r="K24" s="358">
        <v>13933</v>
      </c>
      <c r="L24" s="432">
        <v>1397</v>
      </c>
      <c r="M24" s="461">
        <f t="shared" si="6"/>
        <v>0.18606110784680305</v>
      </c>
      <c r="N24" s="342">
        <v>13984</v>
      </c>
      <c r="O24" s="441">
        <v>1788</v>
      </c>
      <c r="P24" s="467">
        <f t="shared" si="7"/>
        <v>0.18353392043888547</v>
      </c>
      <c r="Q24" s="358">
        <v>15921</v>
      </c>
      <c r="R24" s="432">
        <v>1635</v>
      </c>
      <c r="S24" s="461">
        <f t="shared" si="8"/>
        <v>0.20895620332576484</v>
      </c>
      <c r="T24" s="346">
        <v>13706</v>
      </c>
      <c r="U24" s="441">
        <v>1964</v>
      </c>
      <c r="V24" s="467">
        <f>T24/T22</f>
        <v>0.16870999507631709</v>
      </c>
      <c r="W24" t="s">
        <v>125</v>
      </c>
    </row>
    <row r="25" spans="1:23">
      <c r="A25" s="50" t="s">
        <v>100</v>
      </c>
      <c r="B25" s="342">
        <v>23798</v>
      </c>
      <c r="C25" s="441">
        <v>1780</v>
      </c>
      <c r="D25" s="467">
        <f>B25/B$22</f>
        <v>0.32360180035626385</v>
      </c>
      <c r="E25" s="358">
        <v>23036</v>
      </c>
      <c r="F25" s="432">
        <v>2183</v>
      </c>
      <c r="G25" s="461">
        <f>E25/E$22</f>
        <v>0.31131412508784256</v>
      </c>
      <c r="H25" s="342">
        <v>22599</v>
      </c>
      <c r="I25" s="441">
        <v>1939</v>
      </c>
      <c r="J25" s="467">
        <f>H25/H$22</f>
        <v>0.29465298512327731</v>
      </c>
      <c r="K25" s="358">
        <v>22278</v>
      </c>
      <c r="L25" s="432">
        <v>1935</v>
      </c>
      <c r="M25" s="461">
        <f t="shared" si="6"/>
        <v>0.29750013353987503</v>
      </c>
      <c r="N25" s="342">
        <v>23764</v>
      </c>
      <c r="O25" s="466">
        <v>2142</v>
      </c>
      <c r="P25" s="467">
        <f t="shared" si="7"/>
        <v>0.31189216857191604</v>
      </c>
      <c r="Q25" s="358">
        <v>21528</v>
      </c>
      <c r="R25" s="460">
        <v>2240</v>
      </c>
      <c r="S25" s="461">
        <f t="shared" si="8"/>
        <v>0.28254564067565263</v>
      </c>
      <c r="T25" s="346">
        <v>23400</v>
      </c>
      <c r="U25" s="466">
        <v>2049</v>
      </c>
      <c r="V25" s="467">
        <f>T25/T22</f>
        <v>0.2880354505169867</v>
      </c>
      <c r="W25" t="s">
        <v>125</v>
      </c>
    </row>
    <row r="26" spans="1:23">
      <c r="A26" s="50" t="s">
        <v>101</v>
      </c>
      <c r="B26" s="342">
        <v>18684</v>
      </c>
      <c r="C26" s="441">
        <v>1540</v>
      </c>
      <c r="D26" s="467">
        <f>B26/B$22</f>
        <v>0.2540623597720999</v>
      </c>
      <c r="E26" s="358">
        <v>18757</v>
      </c>
      <c r="F26" s="432">
        <v>1848</v>
      </c>
      <c r="G26" s="461">
        <f>E26/E$22</f>
        <v>0.253486674955403</v>
      </c>
      <c r="H26" s="342">
        <v>17782</v>
      </c>
      <c r="I26" s="441">
        <v>1653</v>
      </c>
      <c r="J26" s="467">
        <f>H26/H$22</f>
        <v>0.23184739950715152</v>
      </c>
      <c r="K26" s="358">
        <v>17026</v>
      </c>
      <c r="L26" s="432">
        <v>1545</v>
      </c>
      <c r="M26" s="461">
        <f t="shared" si="6"/>
        <v>0.22736499118636824</v>
      </c>
      <c r="N26" s="342">
        <v>20002</v>
      </c>
      <c r="O26" s="441">
        <v>2166</v>
      </c>
      <c r="P26" s="467">
        <f t="shared" si="7"/>
        <v>0.26251755410602023</v>
      </c>
      <c r="Q26" s="358">
        <v>21125</v>
      </c>
      <c r="R26" s="432">
        <v>1846</v>
      </c>
      <c r="S26" s="461">
        <f t="shared" si="8"/>
        <v>0.27725644088039586</v>
      </c>
      <c r="T26" s="346">
        <v>22012</v>
      </c>
      <c r="U26" s="441">
        <v>2017</v>
      </c>
      <c r="V26" s="467">
        <f>T26/T22</f>
        <v>0.27095027080256029</v>
      </c>
      <c r="W26" t="s">
        <v>125</v>
      </c>
    </row>
    <row r="27" spans="1:23" ht="15.75" thickBot="1">
      <c r="A27" s="50" t="s">
        <v>102</v>
      </c>
      <c r="B27" s="343">
        <v>11860</v>
      </c>
      <c r="C27" s="450">
        <v>1457</v>
      </c>
      <c r="D27" s="468">
        <f>B27/B$22</f>
        <v>0.16127058375600006</v>
      </c>
      <c r="E27" s="360">
        <v>12851</v>
      </c>
      <c r="F27" s="451">
        <v>1592</v>
      </c>
      <c r="G27" s="462">
        <f>E27/E$22</f>
        <v>0.17367154981350344</v>
      </c>
      <c r="H27" s="343">
        <v>16159</v>
      </c>
      <c r="I27" s="450">
        <v>1800</v>
      </c>
      <c r="J27" s="468">
        <f>H27/H$22</f>
        <v>0.21068620676167255</v>
      </c>
      <c r="K27" s="360">
        <v>16820</v>
      </c>
      <c r="L27" s="451">
        <v>1610</v>
      </c>
      <c r="M27" s="462">
        <f t="shared" si="6"/>
        <v>0.22461406976123072</v>
      </c>
      <c r="N27" s="343">
        <v>13269</v>
      </c>
      <c r="O27" s="450">
        <v>1458</v>
      </c>
      <c r="P27" s="468">
        <f t="shared" si="7"/>
        <v>0.17414985628601051</v>
      </c>
      <c r="Q27" s="360">
        <v>16075</v>
      </c>
      <c r="R27" s="451">
        <v>1822</v>
      </c>
      <c r="S27" s="462">
        <f t="shared" si="8"/>
        <v>0.21097738637407637</v>
      </c>
      <c r="T27" s="367">
        <v>16642</v>
      </c>
      <c r="U27" s="450">
        <v>1999</v>
      </c>
      <c r="V27" s="468">
        <f>T27/T22</f>
        <v>0.20484982767109799</v>
      </c>
      <c r="W27" t="s">
        <v>125</v>
      </c>
    </row>
    <row r="28" spans="1:23">
      <c r="D28" s="471"/>
      <c r="G28" s="471"/>
      <c r="J28" s="73"/>
      <c r="L28" s="60"/>
      <c r="M28" s="73"/>
      <c r="O28" s="60"/>
      <c r="P28" s="73"/>
      <c r="R28" s="60"/>
      <c r="S28" s="73"/>
      <c r="U28" s="60"/>
      <c r="V28" s="73"/>
    </row>
    <row r="29" spans="1:23">
      <c r="F29" s="15" t="s">
        <v>6</v>
      </c>
      <c r="L29" s="825"/>
      <c r="M29" s="815"/>
      <c r="N29" s="815"/>
      <c r="O29" s="815"/>
      <c r="P29" s="815"/>
      <c r="Q29" s="815"/>
      <c r="R29" s="815"/>
      <c r="W29" t="s">
        <v>6</v>
      </c>
    </row>
    <row r="30" spans="1:23">
      <c r="L30" s="825"/>
      <c r="M30" s="815"/>
      <c r="N30" s="815"/>
      <c r="O30" s="815"/>
      <c r="P30" s="815"/>
      <c r="Q30" s="815"/>
      <c r="R30" s="815"/>
    </row>
    <row r="31" spans="1:23">
      <c r="L31" s="825"/>
      <c r="M31" s="815"/>
      <c r="N31" s="815"/>
      <c r="O31" s="815"/>
      <c r="P31" s="815"/>
      <c r="Q31" s="815"/>
      <c r="R31" s="815"/>
    </row>
    <row r="32" spans="1:23">
      <c r="L32" s="825"/>
      <c r="M32" s="815"/>
      <c r="N32" s="815"/>
      <c r="O32" s="815"/>
      <c r="P32" s="815"/>
      <c r="Q32" s="815"/>
      <c r="R32" s="815"/>
    </row>
    <row r="33" spans="12:18">
      <c r="L33" s="825"/>
      <c r="M33" s="815"/>
      <c r="N33" s="815"/>
      <c r="O33" s="815"/>
      <c r="P33" s="815"/>
      <c r="Q33" s="815"/>
      <c r="R33" s="815"/>
    </row>
    <row r="34" spans="12:18">
      <c r="L34" s="825"/>
      <c r="M34" s="815"/>
      <c r="N34" s="815"/>
      <c r="O34" s="815"/>
      <c r="P34" s="815"/>
      <c r="Q34" s="815"/>
      <c r="R34" s="815"/>
    </row>
  </sheetData>
  <mergeCells count="7">
    <mergeCell ref="Q3:S3"/>
    <mergeCell ref="T3:V3"/>
    <mergeCell ref="B3:D3"/>
    <mergeCell ref="E3:G3"/>
    <mergeCell ref="H3:J3"/>
    <mergeCell ref="K3:M3"/>
    <mergeCell ref="N3:P3"/>
  </mergeCells>
  <pageMargins left="0.7" right="0.7" top="0.75" bottom="0.75" header="0.3" footer="0.3"/>
  <pageSetup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P41"/>
  <sheetViews>
    <sheetView topLeftCell="A7" workbookViewId="0">
      <selection activeCell="M32" sqref="M32"/>
    </sheetView>
  </sheetViews>
  <sheetFormatPr defaultColWidth="10.85546875" defaultRowHeight="15"/>
  <cols>
    <col min="1" max="1" width="32.42578125" customWidth="1"/>
  </cols>
  <sheetData>
    <row r="1" spans="1:16">
      <c r="A1" s="826"/>
      <c r="B1" s="827">
        <v>2007</v>
      </c>
      <c r="C1" s="827">
        <v>2008</v>
      </c>
      <c r="D1" s="827">
        <v>2009</v>
      </c>
      <c r="E1" s="827">
        <v>2010</v>
      </c>
      <c r="F1" s="827">
        <v>2011</v>
      </c>
      <c r="G1" s="827">
        <v>2012</v>
      </c>
      <c r="H1" s="827">
        <v>2013</v>
      </c>
      <c r="I1" s="827">
        <v>2014</v>
      </c>
      <c r="J1" s="827">
        <v>2015</v>
      </c>
      <c r="K1" s="827">
        <v>2016</v>
      </c>
      <c r="L1" s="827">
        <v>2017</v>
      </c>
      <c r="M1" s="828">
        <v>2018</v>
      </c>
    </row>
    <row r="2" spans="1:16">
      <c r="A2" s="829" t="s">
        <v>2</v>
      </c>
      <c r="B2" s="575"/>
      <c r="C2" s="575"/>
      <c r="D2" s="575"/>
      <c r="E2" s="575"/>
      <c r="F2" s="575"/>
      <c r="G2" s="575"/>
      <c r="H2" s="575"/>
      <c r="I2" s="575"/>
      <c r="J2" s="575"/>
      <c r="K2" s="575"/>
      <c r="L2" s="575"/>
      <c r="M2" s="830"/>
      <c r="N2" s="878" t="s">
        <v>207</v>
      </c>
      <c r="O2" s="878"/>
      <c r="P2" s="878"/>
    </row>
    <row r="3" spans="1:16">
      <c r="A3" s="108" t="s">
        <v>208</v>
      </c>
      <c r="B3" s="109"/>
      <c r="C3" s="109"/>
      <c r="D3" s="109"/>
      <c r="E3" s="109"/>
      <c r="F3" s="109"/>
      <c r="G3" s="109"/>
      <c r="H3" s="109"/>
      <c r="I3" s="109"/>
      <c r="J3" s="109"/>
      <c r="K3" s="109"/>
      <c r="L3" s="109"/>
      <c r="M3" s="110"/>
      <c r="N3" s="878"/>
      <c r="O3" s="878"/>
      <c r="P3" s="878"/>
    </row>
    <row r="4" spans="1:16">
      <c r="A4" s="108" t="s">
        <v>209</v>
      </c>
      <c r="B4" s="109"/>
      <c r="C4" s="109"/>
      <c r="D4" s="109"/>
      <c r="E4" s="109"/>
      <c r="F4" s="109"/>
      <c r="G4" s="109"/>
      <c r="H4" s="109"/>
      <c r="I4" s="109"/>
      <c r="J4" s="109"/>
      <c r="K4" s="109"/>
      <c r="L4" s="109"/>
      <c r="M4" s="110"/>
      <c r="N4" s="878"/>
      <c r="O4" s="878"/>
      <c r="P4" s="878"/>
    </row>
    <row r="5" spans="1:16">
      <c r="A5" s="108" t="s">
        <v>210</v>
      </c>
      <c r="B5" s="109"/>
      <c r="C5" s="109"/>
      <c r="D5" s="109"/>
      <c r="E5" s="109"/>
      <c r="F5" s="109"/>
      <c r="G5" s="109"/>
      <c r="H5" s="109"/>
      <c r="I5" s="109"/>
      <c r="J5" s="109"/>
      <c r="K5" s="109"/>
      <c r="L5" s="109"/>
      <c r="M5" s="110"/>
      <c r="N5" s="878"/>
      <c r="O5" s="878"/>
      <c r="P5" s="878"/>
    </row>
    <row r="6" spans="1:16">
      <c r="A6" s="108" t="s">
        <v>211</v>
      </c>
      <c r="B6" s="109"/>
      <c r="C6" s="109"/>
      <c r="D6" s="109"/>
      <c r="E6" s="109"/>
      <c r="F6" s="109"/>
      <c r="G6" s="109"/>
      <c r="H6" s="109"/>
      <c r="I6" s="109"/>
      <c r="J6" s="109"/>
      <c r="K6" s="109"/>
      <c r="L6" s="109"/>
      <c r="M6" s="110"/>
      <c r="N6" s="878"/>
      <c r="O6" s="878"/>
      <c r="P6" s="878"/>
    </row>
    <row r="7" spans="1:16" ht="15.75" thickBot="1">
      <c r="A7" s="111" t="s">
        <v>129</v>
      </c>
      <c r="B7" s="113"/>
      <c r="C7" s="113"/>
      <c r="D7" s="114">
        <v>103480</v>
      </c>
      <c r="E7" s="114">
        <v>106963</v>
      </c>
      <c r="F7" s="114">
        <v>107887</v>
      </c>
      <c r="G7" s="113">
        <v>108994</v>
      </c>
      <c r="H7" s="114">
        <v>110731</v>
      </c>
      <c r="I7" s="113">
        <v>111398</v>
      </c>
      <c r="J7" s="113">
        <v>112216</v>
      </c>
      <c r="K7" s="114">
        <v>114008</v>
      </c>
      <c r="L7" s="113">
        <v>115733</v>
      </c>
      <c r="M7" s="115">
        <v>116957</v>
      </c>
    </row>
    <row r="8" spans="1:16">
      <c r="A8" s="116" t="s">
        <v>212</v>
      </c>
      <c r="B8" s="116"/>
      <c r="C8" s="116"/>
      <c r="D8" s="117"/>
      <c r="E8" s="117"/>
      <c r="F8" s="117"/>
      <c r="G8" s="116"/>
      <c r="H8" s="117"/>
      <c r="I8" s="116"/>
      <c r="J8" s="116"/>
      <c r="K8" s="117"/>
      <c r="L8" s="116"/>
      <c r="M8" s="116"/>
    </row>
    <row r="9" spans="1:16" ht="15.75" thickBot="1"/>
    <row r="10" spans="1:16">
      <c r="A10" s="105" t="s">
        <v>26</v>
      </c>
      <c r="B10" s="106"/>
      <c r="C10" s="106"/>
      <c r="D10" s="106"/>
      <c r="E10" s="106"/>
      <c r="F10" s="106"/>
      <c r="G10" s="106"/>
      <c r="H10" s="106"/>
      <c r="I10" s="106"/>
      <c r="J10" s="106"/>
      <c r="K10" s="106"/>
      <c r="L10" s="106"/>
      <c r="M10" s="107"/>
    </row>
    <row r="11" spans="1:16">
      <c r="A11" s="108" t="s">
        <v>208</v>
      </c>
      <c r="B11" s="109"/>
      <c r="C11" s="109"/>
      <c r="D11" s="109"/>
      <c r="E11" s="109"/>
      <c r="F11" s="112">
        <v>4698</v>
      </c>
      <c r="G11" s="109">
        <v>4362</v>
      </c>
      <c r="H11" s="112">
        <v>11061</v>
      </c>
      <c r="I11" s="112">
        <v>7306</v>
      </c>
      <c r="J11" s="112">
        <v>3231</v>
      </c>
      <c r="K11" s="112">
        <v>11882</v>
      </c>
      <c r="L11" s="112">
        <v>24401</v>
      </c>
      <c r="M11" s="118"/>
    </row>
    <row r="12" spans="1:16">
      <c r="A12" s="108" t="s">
        <v>209</v>
      </c>
      <c r="B12" s="109"/>
      <c r="C12" s="109"/>
      <c r="D12" s="109"/>
      <c r="E12" s="109"/>
      <c r="F12" s="109">
        <v>9417</v>
      </c>
      <c r="G12" s="109">
        <v>12489</v>
      </c>
      <c r="H12" s="109">
        <v>12208</v>
      </c>
      <c r="I12" s="109">
        <v>14002</v>
      </c>
      <c r="J12" s="109">
        <v>15473</v>
      </c>
      <c r="K12" s="109">
        <v>13644</v>
      </c>
      <c r="L12" s="109">
        <v>16460</v>
      </c>
      <c r="M12" s="110"/>
    </row>
    <row r="13" spans="1:16">
      <c r="A13" s="108" t="s">
        <v>210</v>
      </c>
      <c r="B13" s="109"/>
      <c r="C13" s="109"/>
      <c r="D13" s="109"/>
      <c r="E13" s="109"/>
      <c r="F13" s="109">
        <v>-4719</v>
      </c>
      <c r="G13" s="109">
        <v>-8127</v>
      </c>
      <c r="H13" s="109">
        <v>-1147</v>
      </c>
      <c r="I13" s="109">
        <v>-6696</v>
      </c>
      <c r="J13" s="109">
        <v>-12242</v>
      </c>
      <c r="K13" s="109">
        <v>-1762</v>
      </c>
      <c r="L13" s="109">
        <v>7941</v>
      </c>
      <c r="M13" s="110"/>
    </row>
    <row r="14" spans="1:16">
      <c r="A14" s="108" t="s">
        <v>211</v>
      </c>
      <c r="B14" s="109"/>
      <c r="C14" s="109"/>
      <c r="D14" s="109"/>
      <c r="E14" s="109"/>
      <c r="F14" s="112">
        <v>34203</v>
      </c>
      <c r="G14" s="109">
        <v>31840</v>
      </c>
      <c r="H14" s="112">
        <v>40734</v>
      </c>
      <c r="I14" s="112">
        <v>35113</v>
      </c>
      <c r="J14" s="112">
        <v>32469</v>
      </c>
      <c r="K14" s="112">
        <v>37517</v>
      </c>
      <c r="L14" s="112">
        <v>51556</v>
      </c>
      <c r="M14" s="118"/>
    </row>
    <row r="15" spans="1:16" ht="15.75" thickBot="1">
      <c r="A15" s="111" t="s">
        <v>129</v>
      </c>
      <c r="B15" s="113"/>
      <c r="C15" s="113"/>
      <c r="D15" s="114">
        <v>5266215</v>
      </c>
      <c r="E15" s="114">
        <v>5310584</v>
      </c>
      <c r="F15" s="114">
        <v>5344861</v>
      </c>
      <c r="G15" s="114">
        <v>5379139</v>
      </c>
      <c r="H15" s="114">
        <v>5420380</v>
      </c>
      <c r="I15" s="114">
        <v>5457173</v>
      </c>
      <c r="J15" s="114">
        <v>5489594</v>
      </c>
      <c r="K15" s="114">
        <v>5519952</v>
      </c>
      <c r="L15" s="113">
        <v>5576606</v>
      </c>
      <c r="M15" s="115">
        <v>5611179</v>
      </c>
    </row>
    <row r="16" spans="1:16" ht="15.75" thickBot="1"/>
    <row r="17" spans="1:13">
      <c r="A17" s="105" t="s">
        <v>3</v>
      </c>
      <c r="B17" s="106"/>
      <c r="C17" s="106"/>
      <c r="D17" s="106"/>
      <c r="E17" s="106"/>
      <c r="F17" s="106"/>
      <c r="G17" s="106"/>
      <c r="H17" s="106"/>
      <c r="I17" s="106"/>
      <c r="J17" s="106"/>
      <c r="K17" s="106"/>
      <c r="L17" s="106"/>
      <c r="M17" s="107"/>
    </row>
    <row r="18" spans="1:13">
      <c r="A18" s="108" t="s">
        <v>208</v>
      </c>
      <c r="B18" s="109"/>
      <c r="C18" s="109"/>
      <c r="D18" s="109"/>
      <c r="E18" s="109"/>
      <c r="F18" s="109">
        <v>54</v>
      </c>
      <c r="G18" s="109">
        <v>-11</v>
      </c>
      <c r="H18" s="109">
        <v>711</v>
      </c>
      <c r="I18" s="109">
        <v>-38</v>
      </c>
      <c r="J18" s="109">
        <v>-124</v>
      </c>
      <c r="K18" s="109">
        <v>684</v>
      </c>
      <c r="L18" s="109">
        <v>642</v>
      </c>
      <c r="M18" s="110"/>
    </row>
    <row r="19" spans="1:13">
      <c r="A19" s="108" t="s">
        <v>209</v>
      </c>
      <c r="B19" s="109"/>
      <c r="C19" s="109"/>
      <c r="D19" s="109"/>
      <c r="E19" s="109"/>
      <c r="F19" s="109">
        <v>351</v>
      </c>
      <c r="G19" s="109">
        <v>512</v>
      </c>
      <c r="H19" s="109">
        <v>512</v>
      </c>
      <c r="I19" s="109">
        <v>610</v>
      </c>
      <c r="J19" s="109">
        <v>610</v>
      </c>
      <c r="K19" s="109">
        <v>551</v>
      </c>
      <c r="L19" s="109">
        <v>690</v>
      </c>
      <c r="M19" s="110"/>
    </row>
    <row r="20" spans="1:13">
      <c r="A20" s="108" t="s">
        <v>210</v>
      </c>
      <c r="B20" s="109"/>
      <c r="C20" s="109"/>
      <c r="D20" s="109"/>
      <c r="E20" s="109"/>
      <c r="F20" s="109">
        <v>-297</v>
      </c>
      <c r="G20" s="109">
        <v>-523</v>
      </c>
      <c r="H20" s="109">
        <v>199</v>
      </c>
      <c r="I20" s="109">
        <v>-648</v>
      </c>
      <c r="J20" s="109">
        <v>-734</v>
      </c>
      <c r="K20" s="109">
        <v>133</v>
      </c>
      <c r="L20" s="109">
        <v>-48</v>
      </c>
      <c r="M20" s="110"/>
    </row>
    <row r="21" spans="1:13">
      <c r="A21" s="108" t="s">
        <v>211</v>
      </c>
      <c r="B21" s="109"/>
      <c r="C21" s="109"/>
      <c r="D21" s="109"/>
      <c r="E21" s="109"/>
      <c r="F21" s="112">
        <v>1283</v>
      </c>
      <c r="G21" s="109">
        <v>1164</v>
      </c>
      <c r="H21" s="112">
        <v>2065</v>
      </c>
      <c r="I21" s="112">
        <v>1055</v>
      </c>
      <c r="J21" s="112">
        <v>1237</v>
      </c>
      <c r="K21" s="112">
        <v>1851</v>
      </c>
      <c r="L21" s="112">
        <v>1747</v>
      </c>
      <c r="M21" s="118"/>
    </row>
    <row r="22" spans="1:13" ht="15.75" thickBot="1">
      <c r="A22" s="111" t="s">
        <v>129</v>
      </c>
      <c r="B22" s="113"/>
      <c r="C22" s="113"/>
      <c r="D22" s="114">
        <v>143962</v>
      </c>
      <c r="E22" s="114">
        <v>144509</v>
      </c>
      <c r="F22" s="114">
        <v>145769</v>
      </c>
      <c r="G22" s="114">
        <v>147066</v>
      </c>
      <c r="H22" s="114">
        <v>149226</v>
      </c>
      <c r="I22" s="114">
        <v>150287</v>
      </c>
      <c r="J22" s="114">
        <v>151436</v>
      </c>
      <c r="K22" s="113">
        <v>153102</v>
      </c>
      <c r="L22" s="113">
        <v>154930</v>
      </c>
      <c r="M22" s="115">
        <v>156277</v>
      </c>
    </row>
    <row r="23" spans="1:13" ht="15.75" thickBot="1"/>
    <row r="24" spans="1:13">
      <c r="A24" s="105" t="s">
        <v>213</v>
      </c>
      <c r="B24" s="106"/>
      <c r="C24" s="106"/>
      <c r="D24" s="106"/>
      <c r="E24" s="106"/>
      <c r="F24" s="106"/>
      <c r="G24" s="106"/>
      <c r="H24" s="119" t="s">
        <v>51</v>
      </c>
      <c r="I24" s="106"/>
      <c r="J24" s="106"/>
      <c r="K24" s="106"/>
      <c r="L24" s="106"/>
      <c r="M24" s="107"/>
    </row>
    <row r="25" spans="1:13">
      <c r="A25" s="108" t="s">
        <v>208</v>
      </c>
      <c r="B25" s="109"/>
      <c r="C25" s="109"/>
      <c r="D25" s="109"/>
      <c r="E25" s="109"/>
      <c r="F25" s="109">
        <v>-133</v>
      </c>
      <c r="G25" s="109"/>
      <c r="H25" s="109">
        <v>576</v>
      </c>
      <c r="I25" s="109">
        <v>-332</v>
      </c>
      <c r="J25" s="109">
        <v>-318</v>
      </c>
      <c r="K25" s="109">
        <v>864</v>
      </c>
      <c r="L25" s="109">
        <v>846</v>
      </c>
      <c r="M25" s="110"/>
    </row>
    <row r="26" spans="1:13">
      <c r="A26" s="108" t="s">
        <v>209</v>
      </c>
      <c r="B26" s="109"/>
      <c r="C26" s="109"/>
      <c r="D26" s="109"/>
      <c r="E26" s="109"/>
      <c r="F26" s="109">
        <v>369</v>
      </c>
      <c r="G26" s="109"/>
      <c r="H26" s="109">
        <v>536</v>
      </c>
      <c r="I26" s="109">
        <v>663</v>
      </c>
      <c r="J26" s="109">
        <v>650</v>
      </c>
      <c r="K26" s="109">
        <v>600</v>
      </c>
      <c r="L26" s="109">
        <v>735</v>
      </c>
      <c r="M26" s="110"/>
    </row>
    <row r="27" spans="1:13">
      <c r="A27" s="108" t="s">
        <v>210</v>
      </c>
      <c r="B27" s="109"/>
      <c r="C27" s="109"/>
      <c r="D27" s="109"/>
      <c r="E27" s="109"/>
      <c r="F27" s="109">
        <v>-502</v>
      </c>
      <c r="G27" s="109"/>
      <c r="H27" s="109">
        <v>40</v>
      </c>
      <c r="I27" s="109">
        <v>-995</v>
      </c>
      <c r="J27" s="109">
        <v>-968</v>
      </c>
      <c r="K27" s="109">
        <v>264</v>
      </c>
      <c r="L27" s="109">
        <v>111</v>
      </c>
      <c r="M27" s="110"/>
    </row>
    <row r="28" spans="1:13">
      <c r="A28" s="108" t="s">
        <v>211</v>
      </c>
      <c r="B28" s="109"/>
      <c r="C28" s="109"/>
      <c r="D28" s="109"/>
      <c r="E28" s="109"/>
      <c r="F28" s="112">
        <v>1297</v>
      </c>
      <c r="G28" s="109"/>
      <c r="H28" s="112">
        <v>2160</v>
      </c>
      <c r="I28" s="109">
        <v>940</v>
      </c>
      <c r="J28" s="112">
        <v>1201</v>
      </c>
      <c r="K28" s="112">
        <v>2177</v>
      </c>
      <c r="L28" s="112">
        <v>2184</v>
      </c>
      <c r="M28" s="118"/>
    </row>
    <row r="29" spans="1:13" ht="15.75" thickBot="1">
      <c r="A29" s="111" t="s">
        <v>129</v>
      </c>
      <c r="B29" s="113"/>
      <c r="C29" s="113"/>
      <c r="D29" s="114">
        <v>185618</v>
      </c>
      <c r="E29" s="114">
        <v>186302</v>
      </c>
      <c r="F29" s="114">
        <v>187612</v>
      </c>
      <c r="G29" s="114">
        <v>188773</v>
      </c>
      <c r="H29" s="114">
        <v>211853</v>
      </c>
      <c r="I29" s="114">
        <v>212778</v>
      </c>
      <c r="J29" s="114">
        <v>213873</v>
      </c>
      <c r="K29" s="114">
        <v>215884</v>
      </c>
      <c r="L29" s="113">
        <v>218280</v>
      </c>
      <c r="M29" s="115"/>
    </row>
    <row r="32" spans="1:13">
      <c r="A32" s="116" t="s">
        <v>214</v>
      </c>
    </row>
    <row r="33" spans="1:9">
      <c r="A33" t="s">
        <v>215</v>
      </c>
      <c r="G33" s="910" t="s">
        <v>216</v>
      </c>
      <c r="H33" s="910"/>
      <c r="I33" s="910"/>
    </row>
    <row r="34" spans="1:9">
      <c r="A34" t="s">
        <v>217</v>
      </c>
      <c r="G34" s="910"/>
      <c r="H34" s="910"/>
      <c r="I34" s="910"/>
    </row>
    <row r="35" spans="1:9">
      <c r="G35" s="910"/>
      <c r="H35" s="910"/>
      <c r="I35" s="910"/>
    </row>
    <row r="36" spans="1:9">
      <c r="A36" t="s">
        <v>218</v>
      </c>
      <c r="G36" s="910"/>
      <c r="H36" s="910"/>
      <c r="I36" s="910"/>
    </row>
    <row r="37" spans="1:9">
      <c r="G37" s="910"/>
      <c r="H37" s="910"/>
      <c r="I37" s="910"/>
    </row>
    <row r="38" spans="1:9">
      <c r="G38" s="910"/>
      <c r="H38" s="910"/>
      <c r="I38" s="910"/>
    </row>
    <row r="39" spans="1:9">
      <c r="G39" s="910"/>
      <c r="H39" s="910"/>
      <c r="I39" s="910"/>
    </row>
    <row r="40" spans="1:9">
      <c r="G40" s="910"/>
      <c r="H40" s="910"/>
      <c r="I40" s="910"/>
    </row>
    <row r="41" spans="1:9">
      <c r="G41" s="910"/>
      <c r="H41" s="910"/>
      <c r="I41" s="910"/>
    </row>
  </sheetData>
  <mergeCells count="2">
    <mergeCell ref="N2:P6"/>
    <mergeCell ref="G33:I4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5"/>
  <sheetViews>
    <sheetView workbookViewId="0">
      <selection activeCell="G3" sqref="G3"/>
    </sheetView>
  </sheetViews>
  <sheetFormatPr defaultColWidth="11.42578125" defaultRowHeight="15"/>
  <cols>
    <col min="1" max="1" width="11.85546875" customWidth="1"/>
    <col min="2" max="2" width="13.42578125" customWidth="1"/>
    <col min="8" max="8" width="11.140625" bestFit="1" customWidth="1"/>
    <col min="9" max="16" width="11" bestFit="1" customWidth="1"/>
    <col min="18" max="18" width="13.42578125" customWidth="1"/>
    <col min="19" max="23" width="10.85546875"/>
    <col min="24" max="24" width="11.140625" bestFit="1" customWidth="1"/>
    <col min="25" max="32" width="11" bestFit="1" customWidth="1"/>
    <col min="34" max="34" width="13.42578125" customWidth="1"/>
    <col min="35" max="48" width="10.85546875"/>
    <col min="50" max="50" width="13.42578125" customWidth="1"/>
    <col min="51" max="64" width="10.85546875"/>
  </cols>
  <sheetData>
    <row r="1" spans="1:64" ht="15.75">
      <c r="A1" s="597" t="s">
        <v>442</v>
      </c>
    </row>
    <row r="2" spans="1:64">
      <c r="A2" t="s">
        <v>443</v>
      </c>
    </row>
    <row r="4" spans="1:64" ht="16.5" thickBot="1">
      <c r="B4" s="606">
        <v>2014</v>
      </c>
      <c r="J4" s="911" t="s">
        <v>464</v>
      </c>
      <c r="K4" s="911"/>
      <c r="L4" s="911"/>
      <c r="M4" s="911"/>
      <c r="N4" s="911"/>
      <c r="O4" s="911"/>
      <c r="P4" s="911"/>
      <c r="R4" s="606">
        <v>2015</v>
      </c>
      <c r="Z4" s="912" t="s">
        <v>464</v>
      </c>
      <c r="AA4" s="912"/>
      <c r="AB4" s="912"/>
      <c r="AC4" s="912"/>
      <c r="AD4" s="912"/>
      <c r="AE4" s="912"/>
      <c r="AF4" s="912"/>
      <c r="AH4" s="606">
        <v>2016</v>
      </c>
      <c r="AP4" s="912" t="s">
        <v>464</v>
      </c>
      <c r="AQ4" s="912"/>
      <c r="AR4" s="912"/>
      <c r="AS4" s="912"/>
      <c r="AT4" s="912"/>
      <c r="AU4" s="912"/>
      <c r="AV4" s="912"/>
      <c r="AX4" s="606">
        <v>2017</v>
      </c>
      <c r="BF4" s="912" t="s">
        <v>464</v>
      </c>
      <c r="BG4" s="912"/>
      <c r="BH4" s="912"/>
      <c r="BI4" s="912"/>
      <c r="BJ4" s="912"/>
      <c r="BK4" s="912"/>
      <c r="BL4" s="912"/>
    </row>
    <row r="5" spans="1:64" s="21" customFormat="1" ht="30" customHeight="1">
      <c r="A5" s="21" t="s">
        <v>459</v>
      </c>
      <c r="B5" s="611" t="s">
        <v>444</v>
      </c>
      <c r="C5" s="611" t="s">
        <v>445</v>
      </c>
      <c r="D5" s="611" t="s">
        <v>446</v>
      </c>
      <c r="E5" s="611" t="s">
        <v>447</v>
      </c>
      <c r="F5" s="611" t="s">
        <v>448</v>
      </c>
      <c r="G5" s="611" t="s">
        <v>449</v>
      </c>
      <c r="H5" s="612" t="s">
        <v>450</v>
      </c>
      <c r="I5" s="611" t="s">
        <v>451</v>
      </c>
      <c r="J5" s="611" t="s">
        <v>452</v>
      </c>
      <c r="K5" s="611" t="s">
        <v>453</v>
      </c>
      <c r="L5" s="611" t="s">
        <v>454</v>
      </c>
      <c r="M5" s="611" t="s">
        <v>455</v>
      </c>
      <c r="N5" s="611" t="s">
        <v>456</v>
      </c>
      <c r="O5" s="611" t="s">
        <v>457</v>
      </c>
      <c r="P5" s="611" t="s">
        <v>458</v>
      </c>
      <c r="R5" s="611" t="s">
        <v>444</v>
      </c>
      <c r="S5" s="611" t="s">
        <v>445</v>
      </c>
      <c r="T5" s="611" t="s">
        <v>446</v>
      </c>
      <c r="U5" s="611" t="s">
        <v>447</v>
      </c>
      <c r="V5" s="611" t="s">
        <v>448</v>
      </c>
      <c r="W5" s="611" t="s">
        <v>449</v>
      </c>
      <c r="X5" s="612" t="s">
        <v>450</v>
      </c>
      <c r="Y5" s="611" t="s">
        <v>451</v>
      </c>
      <c r="Z5" s="611" t="s">
        <v>452</v>
      </c>
      <c r="AA5" s="611" t="s">
        <v>453</v>
      </c>
      <c r="AB5" s="611" t="s">
        <v>454</v>
      </c>
      <c r="AC5" s="611" t="s">
        <v>455</v>
      </c>
      <c r="AD5" s="611" t="s">
        <v>456</v>
      </c>
      <c r="AE5" s="611" t="s">
        <v>457</v>
      </c>
      <c r="AF5" s="611" t="s">
        <v>458</v>
      </c>
      <c r="AH5" s="611" t="s">
        <v>444</v>
      </c>
      <c r="AI5" s="611" t="s">
        <v>445</v>
      </c>
      <c r="AJ5" s="611" t="s">
        <v>446</v>
      </c>
      <c r="AK5" s="611" t="s">
        <v>447</v>
      </c>
      <c r="AL5" s="611" t="s">
        <v>448</v>
      </c>
      <c r="AM5" s="611" t="s">
        <v>449</v>
      </c>
      <c r="AN5" s="612" t="s">
        <v>450</v>
      </c>
      <c r="AO5" s="611" t="s">
        <v>451</v>
      </c>
      <c r="AP5" s="611" t="s">
        <v>452</v>
      </c>
      <c r="AQ5" s="611" t="s">
        <v>453</v>
      </c>
      <c r="AR5" s="611" t="s">
        <v>454</v>
      </c>
      <c r="AS5" s="611" t="s">
        <v>455</v>
      </c>
      <c r="AT5" s="611" t="s">
        <v>456</v>
      </c>
      <c r="AU5" s="611" t="s">
        <v>457</v>
      </c>
      <c r="AV5" s="611" t="s">
        <v>458</v>
      </c>
      <c r="AX5" s="611" t="s">
        <v>444</v>
      </c>
      <c r="AY5" s="611" t="s">
        <v>445</v>
      </c>
      <c r="AZ5" s="611" t="s">
        <v>446</v>
      </c>
      <c r="BA5" s="611" t="s">
        <v>447</v>
      </c>
      <c r="BB5" s="611" t="s">
        <v>448</v>
      </c>
      <c r="BC5" s="611" t="s">
        <v>449</v>
      </c>
      <c r="BD5" s="612" t="s">
        <v>450</v>
      </c>
      <c r="BE5" s="611" t="s">
        <v>451</v>
      </c>
      <c r="BF5" s="611" t="s">
        <v>452</v>
      </c>
      <c r="BG5" s="611" t="s">
        <v>453</v>
      </c>
      <c r="BH5" s="611" t="s">
        <v>454</v>
      </c>
      <c r="BI5" s="611" t="s">
        <v>455</v>
      </c>
      <c r="BJ5" s="611" t="s">
        <v>456</v>
      </c>
      <c r="BK5" s="611" t="s">
        <v>457</v>
      </c>
      <c r="BL5" s="611" t="s">
        <v>458</v>
      </c>
    </row>
    <row r="6" spans="1:64">
      <c r="B6" s="143" t="s">
        <v>3</v>
      </c>
      <c r="C6" s="143">
        <v>4</v>
      </c>
      <c r="D6" s="143">
        <v>2</v>
      </c>
      <c r="E6" s="143">
        <v>1.5</v>
      </c>
      <c r="F6" s="143">
        <v>2</v>
      </c>
      <c r="G6" s="143" t="s">
        <v>460</v>
      </c>
      <c r="H6" s="531">
        <v>56019</v>
      </c>
      <c r="I6" s="607">
        <v>17.95</v>
      </c>
      <c r="J6" s="608">
        <v>548</v>
      </c>
      <c r="K6" s="608">
        <v>967</v>
      </c>
      <c r="L6" s="608">
        <v>341</v>
      </c>
      <c r="M6" s="608">
        <v>1181</v>
      </c>
      <c r="N6" s="608">
        <v>903</v>
      </c>
      <c r="O6" s="608">
        <v>344</v>
      </c>
      <c r="P6" s="608">
        <v>385</v>
      </c>
      <c r="R6" s="143" t="s">
        <v>3</v>
      </c>
      <c r="S6" s="143">
        <v>2</v>
      </c>
      <c r="T6" s="143">
        <v>2</v>
      </c>
      <c r="U6" s="143">
        <v>1.5</v>
      </c>
      <c r="V6" s="143">
        <v>0</v>
      </c>
      <c r="W6" s="143" t="s">
        <v>461</v>
      </c>
      <c r="X6" s="531">
        <v>33268</v>
      </c>
      <c r="Y6" s="607">
        <v>10.66</v>
      </c>
      <c r="Z6" s="608">
        <v>0</v>
      </c>
      <c r="AA6" s="608">
        <v>590</v>
      </c>
      <c r="AB6" s="608">
        <v>343</v>
      </c>
      <c r="AC6" s="608">
        <v>668</v>
      </c>
      <c r="AD6" s="608">
        <v>714</v>
      </c>
      <c r="AE6" s="608">
        <v>176</v>
      </c>
      <c r="AF6" s="608">
        <v>282</v>
      </c>
      <c r="AH6" s="598"/>
      <c r="AI6" s="598"/>
      <c r="AJ6" s="598"/>
      <c r="AK6" s="598"/>
      <c r="AL6" s="598"/>
      <c r="AM6" s="598"/>
      <c r="AN6" s="602"/>
      <c r="AO6" s="599"/>
      <c r="AP6" s="603"/>
      <c r="AQ6" s="603"/>
      <c r="AR6" s="603"/>
      <c r="AS6" s="603"/>
      <c r="AT6" s="603"/>
      <c r="AU6" s="603"/>
      <c r="AV6" s="603"/>
      <c r="AX6" s="598" t="s">
        <v>3</v>
      </c>
      <c r="AY6" s="598">
        <v>4</v>
      </c>
      <c r="AZ6" s="598">
        <v>2</v>
      </c>
      <c r="BA6" s="598">
        <v>1</v>
      </c>
      <c r="BB6" s="598">
        <v>2</v>
      </c>
      <c r="BC6" s="598" t="s">
        <v>460</v>
      </c>
      <c r="BD6" s="602">
        <v>53852</v>
      </c>
      <c r="BE6" s="599">
        <v>25.89</v>
      </c>
      <c r="BF6" s="603">
        <v>0</v>
      </c>
      <c r="BG6" s="603">
        <v>985</v>
      </c>
      <c r="BH6" s="603">
        <v>426</v>
      </c>
      <c r="BI6" s="603">
        <v>1266</v>
      </c>
      <c r="BJ6" s="603">
        <v>758</v>
      </c>
      <c r="BK6" s="603">
        <v>658</v>
      </c>
      <c r="BL6" s="603">
        <v>395</v>
      </c>
    </row>
    <row r="7" spans="1:64">
      <c r="B7" s="575" t="s">
        <v>3</v>
      </c>
      <c r="C7" s="575">
        <v>3</v>
      </c>
      <c r="D7" s="575">
        <v>2</v>
      </c>
      <c r="E7" s="575">
        <v>1.5</v>
      </c>
      <c r="F7" s="575">
        <v>1</v>
      </c>
      <c r="G7" s="575" t="s">
        <v>460</v>
      </c>
      <c r="H7" s="610">
        <v>45336</v>
      </c>
      <c r="I7" s="609">
        <v>14.53</v>
      </c>
      <c r="J7" s="531">
        <v>362</v>
      </c>
      <c r="K7" s="531">
        <v>743</v>
      </c>
      <c r="L7" s="531">
        <v>330</v>
      </c>
      <c r="M7" s="531">
        <v>882</v>
      </c>
      <c r="N7" s="531">
        <v>880</v>
      </c>
      <c r="O7" s="531">
        <v>260</v>
      </c>
      <c r="P7" s="531">
        <v>320</v>
      </c>
      <c r="R7" s="143" t="s">
        <v>3</v>
      </c>
      <c r="S7" s="143">
        <v>2</v>
      </c>
      <c r="T7" s="143">
        <v>2</v>
      </c>
      <c r="U7" s="143">
        <v>1.5</v>
      </c>
      <c r="V7" s="143">
        <v>0</v>
      </c>
      <c r="W7" s="143" t="s">
        <v>460</v>
      </c>
      <c r="X7" s="531">
        <v>32868</v>
      </c>
      <c r="Y7" s="607">
        <v>10.5299999999999</v>
      </c>
      <c r="Z7" s="608">
        <v>0</v>
      </c>
      <c r="AA7" s="608">
        <v>615</v>
      </c>
      <c r="AB7" s="608">
        <v>288</v>
      </c>
      <c r="AC7" s="608">
        <v>668</v>
      </c>
      <c r="AD7" s="608">
        <v>714</v>
      </c>
      <c r="AE7" s="608">
        <v>180</v>
      </c>
      <c r="AF7" s="608">
        <v>275</v>
      </c>
      <c r="AH7" s="598"/>
      <c r="AI7" s="598"/>
      <c r="AJ7" s="598"/>
      <c r="AK7" s="598"/>
      <c r="AL7" s="598"/>
      <c r="AM7" s="598"/>
      <c r="AN7" s="602"/>
      <c r="AO7" s="599"/>
      <c r="AP7" s="603"/>
      <c r="AQ7" s="603"/>
      <c r="AR7" s="603"/>
      <c r="AS7" s="603"/>
      <c r="AT7" s="603"/>
      <c r="AU7" s="603"/>
      <c r="AV7" s="603"/>
      <c r="AX7" s="598" t="s">
        <v>3</v>
      </c>
      <c r="AY7" s="598">
        <v>3</v>
      </c>
      <c r="AZ7" s="598">
        <v>2</v>
      </c>
      <c r="BA7" s="598">
        <v>2</v>
      </c>
      <c r="BB7" s="598">
        <v>1</v>
      </c>
      <c r="BC7" s="598" t="s">
        <v>460</v>
      </c>
      <c r="BD7" s="602">
        <v>60035</v>
      </c>
      <c r="BE7" s="599">
        <v>14.43</v>
      </c>
      <c r="BF7" s="603">
        <v>885</v>
      </c>
      <c r="BG7" s="603">
        <v>756</v>
      </c>
      <c r="BH7" s="603">
        <v>417</v>
      </c>
      <c r="BI7" s="603">
        <v>959</v>
      </c>
      <c r="BJ7" s="603">
        <v>714</v>
      </c>
      <c r="BK7" s="603">
        <v>501</v>
      </c>
      <c r="BL7" s="603">
        <v>771</v>
      </c>
    </row>
    <row r="8" spans="1:64">
      <c r="B8" s="143" t="s">
        <v>3</v>
      </c>
      <c r="C8" s="143">
        <v>6</v>
      </c>
      <c r="D8" s="143">
        <v>2</v>
      </c>
      <c r="E8" s="143">
        <v>1.5</v>
      </c>
      <c r="F8" s="143">
        <v>4</v>
      </c>
      <c r="G8" s="143" t="s">
        <v>460</v>
      </c>
      <c r="H8" s="531">
        <v>61493</v>
      </c>
      <c r="I8" s="607">
        <v>19.71</v>
      </c>
      <c r="J8" s="608">
        <v>548</v>
      </c>
      <c r="K8" s="608">
        <v>1422</v>
      </c>
      <c r="L8" s="608">
        <v>361</v>
      </c>
      <c r="M8" s="608">
        <v>1181</v>
      </c>
      <c r="N8" s="608">
        <v>950</v>
      </c>
      <c r="O8" s="608">
        <v>417</v>
      </c>
      <c r="P8" s="608">
        <v>246</v>
      </c>
      <c r="R8" s="143" t="s">
        <v>3</v>
      </c>
      <c r="S8" s="143">
        <v>2</v>
      </c>
      <c r="T8" s="143">
        <v>2</v>
      </c>
      <c r="U8" s="143">
        <v>1</v>
      </c>
      <c r="V8" s="143">
        <v>0</v>
      </c>
      <c r="W8" s="143" t="s">
        <v>461</v>
      </c>
      <c r="X8" s="531">
        <v>30815</v>
      </c>
      <c r="Y8" s="607">
        <v>14.81</v>
      </c>
      <c r="Z8" s="608">
        <v>0</v>
      </c>
      <c r="AA8" s="608">
        <v>590</v>
      </c>
      <c r="AB8" s="608">
        <v>343</v>
      </c>
      <c r="AC8" s="608">
        <v>668</v>
      </c>
      <c r="AD8" s="608">
        <v>551</v>
      </c>
      <c r="AE8" s="608">
        <v>176</v>
      </c>
      <c r="AF8" s="608">
        <v>240</v>
      </c>
      <c r="AH8" s="598"/>
      <c r="AI8" s="598"/>
      <c r="AJ8" s="598"/>
      <c r="AK8" s="598"/>
      <c r="AL8" s="598"/>
      <c r="AM8" s="598"/>
      <c r="AN8" s="602"/>
      <c r="AO8" s="599"/>
      <c r="AP8" s="603"/>
      <c r="AQ8" s="603"/>
      <c r="AR8" s="603"/>
      <c r="AS8" s="603"/>
      <c r="AT8" s="603"/>
      <c r="AU8" s="603"/>
      <c r="AV8" s="603"/>
      <c r="AX8" s="598" t="s">
        <v>3</v>
      </c>
      <c r="AY8" s="598">
        <v>6</v>
      </c>
      <c r="AZ8" s="598">
        <v>2</v>
      </c>
      <c r="BA8" s="598">
        <v>1</v>
      </c>
      <c r="BB8" s="598">
        <v>4</v>
      </c>
      <c r="BC8" s="598" t="s">
        <v>460</v>
      </c>
      <c r="BD8" s="602">
        <v>61232</v>
      </c>
      <c r="BE8" s="599">
        <v>29.44</v>
      </c>
      <c r="BF8" s="603">
        <v>0</v>
      </c>
      <c r="BG8" s="603">
        <v>1454</v>
      </c>
      <c r="BH8" s="603">
        <v>443</v>
      </c>
      <c r="BI8" s="603">
        <v>1266</v>
      </c>
      <c r="BJ8" s="603">
        <v>831</v>
      </c>
      <c r="BK8" s="603">
        <v>795</v>
      </c>
      <c r="BL8" s="603">
        <v>314</v>
      </c>
    </row>
    <row r="9" spans="1:64">
      <c r="B9" s="143" t="s">
        <v>3</v>
      </c>
      <c r="C9" s="143">
        <v>2</v>
      </c>
      <c r="D9" s="143">
        <v>2</v>
      </c>
      <c r="E9" s="143">
        <v>1.5</v>
      </c>
      <c r="F9" s="143">
        <v>0</v>
      </c>
      <c r="G9" s="143" t="s">
        <v>461</v>
      </c>
      <c r="H9" s="531">
        <v>32160</v>
      </c>
      <c r="I9" s="607">
        <v>10.31</v>
      </c>
      <c r="J9" s="608">
        <v>0</v>
      </c>
      <c r="K9" s="608">
        <v>573</v>
      </c>
      <c r="L9" s="608">
        <v>275</v>
      </c>
      <c r="M9" s="608">
        <v>655</v>
      </c>
      <c r="N9" s="608">
        <v>738</v>
      </c>
      <c r="O9" s="608">
        <v>196</v>
      </c>
      <c r="P9" s="608">
        <v>243</v>
      </c>
      <c r="R9" s="143" t="s">
        <v>3</v>
      </c>
      <c r="S9" s="143">
        <v>2</v>
      </c>
      <c r="T9" s="143">
        <v>2</v>
      </c>
      <c r="U9" s="143">
        <v>2</v>
      </c>
      <c r="V9" s="143">
        <v>0</v>
      </c>
      <c r="W9" s="143" t="s">
        <v>460</v>
      </c>
      <c r="X9" s="531">
        <v>32868</v>
      </c>
      <c r="Y9" s="607">
        <v>7.9</v>
      </c>
      <c r="Z9" s="608">
        <v>0</v>
      </c>
      <c r="AA9" s="608">
        <v>615</v>
      </c>
      <c r="AB9" s="608">
        <v>288</v>
      </c>
      <c r="AC9" s="608">
        <v>668</v>
      </c>
      <c r="AD9" s="608">
        <v>714</v>
      </c>
      <c r="AE9" s="608">
        <v>180</v>
      </c>
      <c r="AF9" s="608">
        <v>275</v>
      </c>
      <c r="AH9" s="598"/>
      <c r="AI9" s="598"/>
      <c r="AJ9" s="598"/>
      <c r="AK9" s="598"/>
      <c r="AL9" s="598"/>
      <c r="AM9" s="598"/>
      <c r="AN9" s="602"/>
      <c r="AO9" s="599"/>
      <c r="AP9" s="603"/>
      <c r="AQ9" s="603"/>
      <c r="AR9" s="603"/>
      <c r="AS9" s="603"/>
      <c r="AT9" s="603"/>
      <c r="AU9" s="603"/>
      <c r="AV9" s="603"/>
      <c r="AX9" s="598" t="s">
        <v>3</v>
      </c>
      <c r="AY9" s="598">
        <v>4</v>
      </c>
      <c r="AZ9" s="598">
        <v>2</v>
      </c>
      <c r="BA9" s="598">
        <v>2</v>
      </c>
      <c r="BB9" s="598">
        <v>2</v>
      </c>
      <c r="BC9" s="598" t="s">
        <v>460</v>
      </c>
      <c r="BD9" s="602">
        <v>78216</v>
      </c>
      <c r="BE9" s="599">
        <v>18.8</v>
      </c>
      <c r="BF9" s="603">
        <v>1398</v>
      </c>
      <c r="BG9" s="603">
        <v>985</v>
      </c>
      <c r="BH9" s="603">
        <v>426</v>
      </c>
      <c r="BI9" s="603">
        <v>1266</v>
      </c>
      <c r="BJ9" s="603">
        <v>758</v>
      </c>
      <c r="BK9" s="603">
        <v>658</v>
      </c>
      <c r="BL9" s="603">
        <v>1027</v>
      </c>
    </row>
    <row r="10" spans="1:64">
      <c r="B10" s="143" t="s">
        <v>3</v>
      </c>
      <c r="C10" s="143">
        <v>2</v>
      </c>
      <c r="D10" s="143">
        <v>2</v>
      </c>
      <c r="E10" s="143">
        <v>1.5</v>
      </c>
      <c r="F10" s="143">
        <v>0</v>
      </c>
      <c r="G10" s="143" t="s">
        <v>460</v>
      </c>
      <c r="H10" s="531">
        <v>31525</v>
      </c>
      <c r="I10" s="607">
        <v>10.1</v>
      </c>
      <c r="J10" s="608">
        <v>0</v>
      </c>
      <c r="K10" s="608">
        <v>598</v>
      </c>
      <c r="L10" s="608">
        <v>204</v>
      </c>
      <c r="M10" s="608">
        <v>655</v>
      </c>
      <c r="N10" s="608">
        <v>738</v>
      </c>
      <c r="O10" s="608">
        <v>201</v>
      </c>
      <c r="P10" s="608">
        <v>231</v>
      </c>
      <c r="R10" s="143" t="s">
        <v>3</v>
      </c>
      <c r="S10" s="143">
        <v>2</v>
      </c>
      <c r="T10" s="143">
        <v>2</v>
      </c>
      <c r="U10" s="143">
        <v>2</v>
      </c>
      <c r="V10" s="143">
        <v>0</v>
      </c>
      <c r="W10" s="143" t="s">
        <v>461</v>
      </c>
      <c r="X10" s="531">
        <v>33268</v>
      </c>
      <c r="Y10" s="607">
        <v>8</v>
      </c>
      <c r="Z10" s="608">
        <v>0</v>
      </c>
      <c r="AA10" s="608">
        <v>590</v>
      </c>
      <c r="AB10" s="608">
        <v>343</v>
      </c>
      <c r="AC10" s="608">
        <v>668</v>
      </c>
      <c r="AD10" s="608">
        <v>714</v>
      </c>
      <c r="AE10" s="608">
        <v>176</v>
      </c>
      <c r="AF10" s="608">
        <v>282</v>
      </c>
      <c r="AH10" s="598"/>
      <c r="AI10" s="598"/>
      <c r="AJ10" s="598"/>
      <c r="AK10" s="598"/>
      <c r="AL10" s="598"/>
      <c r="AM10" s="598"/>
      <c r="AN10" s="602"/>
      <c r="AO10" s="599"/>
      <c r="AP10" s="603"/>
      <c r="AQ10" s="603"/>
      <c r="AR10" s="603"/>
      <c r="AS10" s="603"/>
      <c r="AT10" s="603"/>
      <c r="AU10" s="603"/>
      <c r="AV10" s="603"/>
      <c r="AX10" s="598" t="s">
        <v>3</v>
      </c>
      <c r="AY10" s="598">
        <v>2</v>
      </c>
      <c r="AZ10" s="598">
        <v>2</v>
      </c>
      <c r="BA10" s="598">
        <v>2</v>
      </c>
      <c r="BB10" s="598">
        <v>0</v>
      </c>
      <c r="BC10" s="598" t="s">
        <v>460</v>
      </c>
      <c r="BD10" s="602">
        <v>36509</v>
      </c>
      <c r="BE10" s="599">
        <v>8.7799999999999994</v>
      </c>
      <c r="BF10" s="603">
        <v>0</v>
      </c>
      <c r="BG10" s="603">
        <v>607</v>
      </c>
      <c r="BH10" s="603">
        <v>276</v>
      </c>
      <c r="BI10" s="603">
        <v>738</v>
      </c>
      <c r="BJ10" s="603">
        <v>617</v>
      </c>
      <c r="BK10" s="603">
        <v>393</v>
      </c>
      <c r="BL10" s="603">
        <v>411</v>
      </c>
    </row>
    <row r="11" spans="1:64">
      <c r="B11" s="143" t="s">
        <v>3</v>
      </c>
      <c r="C11" s="143">
        <v>2</v>
      </c>
      <c r="D11" s="143">
        <v>2</v>
      </c>
      <c r="E11" s="143">
        <v>2</v>
      </c>
      <c r="F11" s="143">
        <v>0</v>
      </c>
      <c r="G11" s="143" t="s">
        <v>460</v>
      </c>
      <c r="H11" s="531">
        <v>31525</v>
      </c>
      <c r="I11" s="607">
        <v>7.58</v>
      </c>
      <c r="J11" s="608">
        <v>0</v>
      </c>
      <c r="K11" s="608">
        <v>598</v>
      </c>
      <c r="L11" s="608">
        <v>204</v>
      </c>
      <c r="M11" s="608">
        <v>655</v>
      </c>
      <c r="N11" s="608">
        <v>738</v>
      </c>
      <c r="O11" s="608">
        <v>201</v>
      </c>
      <c r="P11" s="608">
        <v>231</v>
      </c>
      <c r="R11" s="143" t="s">
        <v>3</v>
      </c>
      <c r="S11" s="143">
        <v>2</v>
      </c>
      <c r="T11" s="143">
        <v>2</v>
      </c>
      <c r="U11" s="143">
        <v>1</v>
      </c>
      <c r="V11" s="143">
        <v>0</v>
      </c>
      <c r="W11" s="143" t="s">
        <v>460</v>
      </c>
      <c r="X11" s="531">
        <v>30416</v>
      </c>
      <c r="Y11" s="607">
        <v>14.6199999999999</v>
      </c>
      <c r="Z11" s="608">
        <v>0</v>
      </c>
      <c r="AA11" s="608">
        <v>615</v>
      </c>
      <c r="AB11" s="608">
        <v>288</v>
      </c>
      <c r="AC11" s="608">
        <v>668</v>
      </c>
      <c r="AD11" s="608">
        <v>551</v>
      </c>
      <c r="AE11" s="608">
        <v>180</v>
      </c>
      <c r="AF11" s="608">
        <v>234</v>
      </c>
      <c r="AH11" s="598"/>
      <c r="AI11" s="598"/>
      <c r="AJ11" s="598"/>
      <c r="AK11" s="598"/>
      <c r="AL11" s="598"/>
      <c r="AM11" s="598"/>
      <c r="AN11" s="602"/>
      <c r="AO11" s="599"/>
      <c r="AP11" s="603"/>
      <c r="AQ11" s="603"/>
      <c r="AR11" s="603"/>
      <c r="AS11" s="603"/>
      <c r="AT11" s="603"/>
      <c r="AU11" s="603"/>
      <c r="AV11" s="603"/>
      <c r="AX11" s="598" t="s">
        <v>3</v>
      </c>
      <c r="AY11" s="598">
        <v>2</v>
      </c>
      <c r="AZ11" s="598">
        <v>2</v>
      </c>
      <c r="BA11" s="598">
        <v>1</v>
      </c>
      <c r="BB11" s="598">
        <v>0</v>
      </c>
      <c r="BC11" s="598" t="s">
        <v>460</v>
      </c>
      <c r="BD11" s="602">
        <v>35642</v>
      </c>
      <c r="BE11" s="599">
        <v>17.14</v>
      </c>
      <c r="BF11" s="603">
        <v>0</v>
      </c>
      <c r="BG11" s="603">
        <v>607</v>
      </c>
      <c r="BH11" s="603">
        <v>276</v>
      </c>
      <c r="BI11" s="603">
        <v>738</v>
      </c>
      <c r="BJ11" s="603">
        <v>617</v>
      </c>
      <c r="BK11" s="603">
        <v>393</v>
      </c>
      <c r="BL11" s="603">
        <v>339</v>
      </c>
    </row>
    <row r="12" spans="1:64">
      <c r="A12" s="3" t="s">
        <v>462</v>
      </c>
      <c r="B12" s="143" t="s">
        <v>3</v>
      </c>
      <c r="C12" s="143">
        <v>4</v>
      </c>
      <c r="D12" s="143">
        <v>2</v>
      </c>
      <c r="E12" s="143">
        <v>2</v>
      </c>
      <c r="F12" s="143">
        <v>2</v>
      </c>
      <c r="G12" s="143" t="s">
        <v>460</v>
      </c>
      <c r="H12" s="531">
        <v>64544</v>
      </c>
      <c r="I12" s="607">
        <v>15.52</v>
      </c>
      <c r="J12" s="608">
        <v>1095</v>
      </c>
      <c r="K12" s="608">
        <v>967</v>
      </c>
      <c r="L12" s="608">
        <v>341</v>
      </c>
      <c r="M12" s="608">
        <v>1181</v>
      </c>
      <c r="N12" s="608">
        <v>903</v>
      </c>
      <c r="O12" s="608">
        <v>344</v>
      </c>
      <c r="P12" s="608">
        <v>547</v>
      </c>
      <c r="R12" s="143" t="s">
        <v>3</v>
      </c>
      <c r="S12" s="143">
        <v>1</v>
      </c>
      <c r="T12" s="143">
        <v>1</v>
      </c>
      <c r="U12" s="143">
        <v>1</v>
      </c>
      <c r="V12" s="143">
        <v>0</v>
      </c>
      <c r="W12" s="143" t="s">
        <v>460</v>
      </c>
      <c r="X12" s="531">
        <v>22816</v>
      </c>
      <c r="Y12" s="607">
        <v>10.97</v>
      </c>
      <c r="Z12" s="608">
        <v>0</v>
      </c>
      <c r="AA12" s="608">
        <v>361</v>
      </c>
      <c r="AB12" s="608">
        <v>132</v>
      </c>
      <c r="AC12" s="608">
        <v>661</v>
      </c>
      <c r="AD12" s="608">
        <v>404</v>
      </c>
      <c r="AE12" s="608">
        <v>143</v>
      </c>
      <c r="AF12" s="608">
        <v>200</v>
      </c>
      <c r="AH12" s="598"/>
      <c r="AI12" s="598"/>
      <c r="AJ12" s="598"/>
      <c r="AK12" s="598"/>
      <c r="AL12" s="598"/>
      <c r="AM12" s="598"/>
      <c r="AN12" s="602"/>
      <c r="AO12" s="599"/>
      <c r="AP12" s="603"/>
      <c r="AQ12" s="603"/>
      <c r="AR12" s="603"/>
      <c r="AS12" s="603"/>
      <c r="AT12" s="603"/>
      <c r="AU12" s="603"/>
      <c r="AV12" s="603"/>
      <c r="AX12" s="600" t="s">
        <v>3</v>
      </c>
      <c r="AY12" s="600">
        <v>3</v>
      </c>
      <c r="AZ12" s="600">
        <v>2</v>
      </c>
      <c r="BA12" s="600">
        <v>1.5</v>
      </c>
      <c r="BB12" s="600">
        <v>1</v>
      </c>
      <c r="BC12" s="600" t="s">
        <v>460</v>
      </c>
      <c r="BD12" s="604">
        <v>52803</v>
      </c>
      <c r="BE12" s="601">
        <v>16.920000000000002</v>
      </c>
      <c r="BF12" s="602">
        <v>443</v>
      </c>
      <c r="BG12" s="602">
        <v>756</v>
      </c>
      <c r="BH12" s="602">
        <v>417</v>
      </c>
      <c r="BI12" s="602">
        <v>959</v>
      </c>
      <c r="BJ12" s="602">
        <v>714</v>
      </c>
      <c r="BK12" s="602">
        <v>501</v>
      </c>
      <c r="BL12" s="602">
        <v>610</v>
      </c>
    </row>
    <row r="13" spans="1:64">
      <c r="B13" s="143" t="s">
        <v>3</v>
      </c>
      <c r="C13" s="143">
        <v>5</v>
      </c>
      <c r="D13" s="143">
        <v>2</v>
      </c>
      <c r="E13" s="143">
        <v>2</v>
      </c>
      <c r="F13" s="143">
        <v>3</v>
      </c>
      <c r="G13" s="143" t="s">
        <v>460</v>
      </c>
      <c r="H13" s="531">
        <v>67264</v>
      </c>
      <c r="I13" s="607">
        <v>16.170000000000002</v>
      </c>
      <c r="J13" s="608">
        <v>1095</v>
      </c>
      <c r="K13" s="608">
        <v>1193</v>
      </c>
      <c r="L13" s="608">
        <v>351</v>
      </c>
      <c r="M13" s="608">
        <v>1181</v>
      </c>
      <c r="N13" s="608">
        <v>927</v>
      </c>
      <c r="O13" s="608">
        <v>380</v>
      </c>
      <c r="P13" s="608">
        <v>478</v>
      </c>
      <c r="R13" s="143" t="s">
        <v>3</v>
      </c>
      <c r="S13" s="143">
        <v>1</v>
      </c>
      <c r="T13" s="143">
        <v>1</v>
      </c>
      <c r="U13" s="143">
        <v>1</v>
      </c>
      <c r="V13" s="143">
        <v>0</v>
      </c>
      <c r="W13" s="143" t="s">
        <v>461</v>
      </c>
      <c r="X13" s="531">
        <v>22841</v>
      </c>
      <c r="Y13" s="607">
        <v>10.98</v>
      </c>
      <c r="Z13" s="608">
        <v>0</v>
      </c>
      <c r="AA13" s="608">
        <v>339</v>
      </c>
      <c r="AB13" s="608">
        <v>159</v>
      </c>
      <c r="AC13" s="608">
        <v>661</v>
      </c>
      <c r="AD13" s="608">
        <v>404</v>
      </c>
      <c r="AE13" s="608">
        <v>140</v>
      </c>
      <c r="AF13" s="608">
        <v>201</v>
      </c>
      <c r="AH13" s="598"/>
      <c r="AI13" s="598"/>
      <c r="AJ13" s="598"/>
      <c r="AK13" s="598"/>
      <c r="AL13" s="598"/>
      <c r="AM13" s="598"/>
      <c r="AN13" s="602"/>
      <c r="AO13" s="599"/>
      <c r="AP13" s="603"/>
      <c r="AQ13" s="603"/>
      <c r="AR13" s="603"/>
      <c r="AS13" s="603"/>
      <c r="AT13" s="603"/>
      <c r="AU13" s="603"/>
      <c r="AV13" s="603"/>
      <c r="AX13" s="598" t="s">
        <v>3</v>
      </c>
      <c r="AY13" s="598">
        <v>2</v>
      </c>
      <c r="AZ13" s="598">
        <v>1</v>
      </c>
      <c r="BA13" s="598">
        <v>1</v>
      </c>
      <c r="BB13" s="598">
        <v>1</v>
      </c>
      <c r="BC13" s="598" t="s">
        <v>460</v>
      </c>
      <c r="BD13" s="602">
        <v>50768</v>
      </c>
      <c r="BE13" s="599">
        <v>24.41</v>
      </c>
      <c r="BF13" s="603">
        <v>885</v>
      </c>
      <c r="BG13" s="603">
        <v>488</v>
      </c>
      <c r="BH13" s="603">
        <v>269</v>
      </c>
      <c r="BI13" s="603">
        <v>959</v>
      </c>
      <c r="BJ13" s="603">
        <v>617</v>
      </c>
      <c r="BK13" s="603">
        <v>423</v>
      </c>
      <c r="BL13" s="603">
        <v>590</v>
      </c>
    </row>
    <row r="14" spans="1:64">
      <c r="B14" s="143" t="s">
        <v>3</v>
      </c>
      <c r="C14" s="143">
        <v>4</v>
      </c>
      <c r="D14" s="143">
        <v>1</v>
      </c>
      <c r="E14" s="143">
        <v>1</v>
      </c>
      <c r="F14" s="143">
        <v>3</v>
      </c>
      <c r="G14" s="143" t="s">
        <v>460</v>
      </c>
      <c r="H14" s="531">
        <v>59351</v>
      </c>
      <c r="I14" s="607">
        <v>28.53</v>
      </c>
      <c r="J14" s="608">
        <v>1095</v>
      </c>
      <c r="K14" s="608">
        <v>962</v>
      </c>
      <c r="L14" s="608">
        <v>333</v>
      </c>
      <c r="M14" s="608">
        <v>1181</v>
      </c>
      <c r="N14" s="608">
        <v>610</v>
      </c>
      <c r="O14" s="608">
        <v>343</v>
      </c>
      <c r="P14" s="608">
        <v>421</v>
      </c>
      <c r="R14" s="143" t="s">
        <v>3</v>
      </c>
      <c r="S14" s="143">
        <v>2</v>
      </c>
      <c r="T14" s="143">
        <v>1</v>
      </c>
      <c r="U14" s="143">
        <v>1</v>
      </c>
      <c r="V14" s="143">
        <v>1</v>
      </c>
      <c r="W14" s="143" t="s">
        <v>460</v>
      </c>
      <c r="X14" s="531">
        <v>41531</v>
      </c>
      <c r="Y14" s="607">
        <v>19.969999999999899</v>
      </c>
      <c r="Z14" s="608">
        <v>763</v>
      </c>
      <c r="AA14" s="608">
        <v>470</v>
      </c>
      <c r="AB14" s="608">
        <v>278</v>
      </c>
      <c r="AC14" s="608">
        <v>900</v>
      </c>
      <c r="AD14" s="608">
        <v>502</v>
      </c>
      <c r="AE14" s="608">
        <v>192</v>
      </c>
      <c r="AF14" s="608">
        <v>356</v>
      </c>
      <c r="AH14" s="598"/>
      <c r="AI14" s="598"/>
      <c r="AJ14" s="598"/>
      <c r="AK14" s="598"/>
      <c r="AL14" s="598"/>
      <c r="AM14" s="598"/>
      <c r="AN14" s="602"/>
      <c r="AO14" s="599"/>
      <c r="AP14" s="603"/>
      <c r="AQ14" s="603"/>
      <c r="AR14" s="603"/>
      <c r="AS14" s="603"/>
      <c r="AT14" s="603"/>
      <c r="AU14" s="603"/>
      <c r="AV14" s="603"/>
      <c r="AX14" s="598" t="s">
        <v>3</v>
      </c>
      <c r="AY14" s="598">
        <v>5</v>
      </c>
      <c r="AZ14" s="598">
        <v>1</v>
      </c>
      <c r="BA14" s="598">
        <v>1</v>
      </c>
      <c r="BB14" s="598">
        <v>4</v>
      </c>
      <c r="BC14" s="598" t="s">
        <v>460</v>
      </c>
      <c r="BD14" s="602">
        <v>79596</v>
      </c>
      <c r="BE14" s="599">
        <v>38.270000000000003</v>
      </c>
      <c r="BF14" s="603">
        <v>1398</v>
      </c>
      <c r="BG14" s="603">
        <v>1192</v>
      </c>
      <c r="BH14" s="603">
        <v>428</v>
      </c>
      <c r="BI14" s="603">
        <v>1266</v>
      </c>
      <c r="BJ14" s="603">
        <v>802</v>
      </c>
      <c r="BK14" s="603">
        <v>718</v>
      </c>
      <c r="BL14" s="603">
        <v>829</v>
      </c>
    </row>
    <row r="15" spans="1:64">
      <c r="B15" s="143" t="s">
        <v>3</v>
      </c>
      <c r="C15" s="143">
        <v>3</v>
      </c>
      <c r="D15" s="143">
        <v>1</v>
      </c>
      <c r="E15" s="143">
        <v>1</v>
      </c>
      <c r="F15" s="143">
        <v>2</v>
      </c>
      <c r="G15" s="143" t="s">
        <v>460</v>
      </c>
      <c r="H15" s="531">
        <v>55776</v>
      </c>
      <c r="I15" s="607">
        <v>26.82</v>
      </c>
      <c r="J15" s="608">
        <v>1095</v>
      </c>
      <c r="K15" s="608">
        <v>707</v>
      </c>
      <c r="L15" s="608">
        <v>323</v>
      </c>
      <c r="M15" s="608">
        <v>1181</v>
      </c>
      <c r="N15" s="608">
        <v>565</v>
      </c>
      <c r="O15" s="608">
        <v>302</v>
      </c>
      <c r="P15" s="608">
        <v>474</v>
      </c>
      <c r="R15" s="143" t="s">
        <v>3</v>
      </c>
      <c r="S15" s="143">
        <v>3</v>
      </c>
      <c r="T15" s="143">
        <v>2</v>
      </c>
      <c r="U15" s="143">
        <v>2</v>
      </c>
      <c r="V15" s="143">
        <v>1</v>
      </c>
      <c r="W15" s="143" t="s">
        <v>460</v>
      </c>
      <c r="X15" s="531">
        <v>52805</v>
      </c>
      <c r="Y15" s="607">
        <v>12.69</v>
      </c>
      <c r="Z15" s="608">
        <v>763</v>
      </c>
      <c r="AA15" s="608">
        <v>765</v>
      </c>
      <c r="AB15" s="608">
        <v>391</v>
      </c>
      <c r="AC15" s="608">
        <v>900</v>
      </c>
      <c r="AD15" s="608">
        <v>852</v>
      </c>
      <c r="AE15" s="608">
        <v>233</v>
      </c>
      <c r="AF15" s="608">
        <v>497</v>
      </c>
      <c r="AH15" s="598"/>
      <c r="AI15" s="598"/>
      <c r="AJ15" s="598"/>
      <c r="AK15" s="598"/>
      <c r="AL15" s="598"/>
      <c r="AM15" s="598"/>
      <c r="AN15" s="602"/>
      <c r="AO15" s="599"/>
      <c r="AP15" s="603"/>
      <c r="AQ15" s="603"/>
      <c r="AR15" s="603"/>
      <c r="AS15" s="603"/>
      <c r="AT15" s="603"/>
      <c r="AU15" s="603"/>
      <c r="AV15" s="603"/>
      <c r="AX15" s="598" t="s">
        <v>3</v>
      </c>
      <c r="AY15" s="598">
        <v>4</v>
      </c>
      <c r="AZ15" s="598">
        <v>1</v>
      </c>
      <c r="BA15" s="598">
        <v>1</v>
      </c>
      <c r="BB15" s="598">
        <v>3</v>
      </c>
      <c r="BC15" s="598" t="s">
        <v>460</v>
      </c>
      <c r="BD15" s="602">
        <v>76195</v>
      </c>
      <c r="BE15" s="599">
        <v>36.630000000000003</v>
      </c>
      <c r="BF15" s="603">
        <v>1398</v>
      </c>
      <c r="BG15" s="603">
        <v>980</v>
      </c>
      <c r="BH15" s="603">
        <v>419</v>
      </c>
      <c r="BI15" s="603">
        <v>1266</v>
      </c>
      <c r="BJ15" s="603">
        <v>758</v>
      </c>
      <c r="BK15" s="603">
        <v>656</v>
      </c>
      <c r="BL15" s="603">
        <v>873</v>
      </c>
    </row>
    <row r="16" spans="1:64">
      <c r="B16" s="143" t="s">
        <v>3</v>
      </c>
      <c r="C16" s="143">
        <v>5</v>
      </c>
      <c r="D16" s="143">
        <v>1</v>
      </c>
      <c r="E16" s="143">
        <v>1</v>
      </c>
      <c r="F16" s="143">
        <v>4</v>
      </c>
      <c r="G16" s="143" t="s">
        <v>460</v>
      </c>
      <c r="H16" s="531">
        <v>61507</v>
      </c>
      <c r="I16" s="607">
        <v>29.57</v>
      </c>
      <c r="J16" s="608">
        <v>1095</v>
      </c>
      <c r="K16" s="608">
        <v>1144</v>
      </c>
      <c r="L16" s="608">
        <v>344</v>
      </c>
      <c r="M16" s="608">
        <v>1181</v>
      </c>
      <c r="N16" s="608">
        <v>655</v>
      </c>
      <c r="O16" s="608">
        <v>372</v>
      </c>
      <c r="P16" s="608">
        <v>334</v>
      </c>
      <c r="R16" s="143" t="s">
        <v>3</v>
      </c>
      <c r="S16" s="143">
        <v>3</v>
      </c>
      <c r="T16" s="143">
        <v>2</v>
      </c>
      <c r="U16" s="143">
        <v>1</v>
      </c>
      <c r="V16" s="143">
        <v>1</v>
      </c>
      <c r="W16" s="143" t="s">
        <v>460</v>
      </c>
      <c r="X16" s="531">
        <v>38746</v>
      </c>
      <c r="Y16" s="607">
        <v>18.6299999999999</v>
      </c>
      <c r="Z16" s="608">
        <v>0</v>
      </c>
      <c r="AA16" s="608">
        <v>765</v>
      </c>
      <c r="AB16" s="608">
        <v>391</v>
      </c>
      <c r="AC16" s="608">
        <v>900</v>
      </c>
      <c r="AD16" s="608">
        <v>655</v>
      </c>
      <c r="AE16" s="608">
        <v>233</v>
      </c>
      <c r="AF16" s="608">
        <v>286</v>
      </c>
      <c r="AH16" s="598"/>
      <c r="AI16" s="598"/>
      <c r="AJ16" s="598"/>
      <c r="AK16" s="598"/>
      <c r="AL16" s="598"/>
      <c r="AM16" s="598"/>
      <c r="AN16" s="602"/>
      <c r="AO16" s="599"/>
      <c r="AP16" s="603"/>
      <c r="AQ16" s="603"/>
      <c r="AR16" s="603"/>
      <c r="AS16" s="603"/>
      <c r="AT16" s="603"/>
      <c r="AU16" s="603"/>
      <c r="AV16" s="603"/>
      <c r="AX16" s="598" t="s">
        <v>3</v>
      </c>
      <c r="AY16" s="598">
        <v>3</v>
      </c>
      <c r="AZ16" s="598">
        <v>1</v>
      </c>
      <c r="BA16" s="598">
        <v>1</v>
      </c>
      <c r="BB16" s="598">
        <v>2</v>
      </c>
      <c r="BC16" s="598" t="s">
        <v>460</v>
      </c>
      <c r="BD16" s="602">
        <v>72457</v>
      </c>
      <c r="BE16" s="599">
        <v>34.840000000000003</v>
      </c>
      <c r="BF16" s="603">
        <v>1398</v>
      </c>
      <c r="BG16" s="603">
        <v>745</v>
      </c>
      <c r="BH16" s="603">
        <v>411</v>
      </c>
      <c r="BI16" s="603">
        <v>1266</v>
      </c>
      <c r="BJ16" s="603">
        <v>714</v>
      </c>
      <c r="BK16" s="603">
        <v>588</v>
      </c>
      <c r="BL16" s="603">
        <v>916</v>
      </c>
    </row>
    <row r="17" spans="1:64">
      <c r="B17" s="143" t="s">
        <v>3</v>
      </c>
      <c r="C17" s="143">
        <v>2</v>
      </c>
      <c r="D17" s="143">
        <v>2</v>
      </c>
      <c r="E17" s="143">
        <v>2</v>
      </c>
      <c r="F17" s="143">
        <v>0</v>
      </c>
      <c r="G17" s="143" t="s">
        <v>461</v>
      </c>
      <c r="H17" s="531">
        <v>32160</v>
      </c>
      <c r="I17" s="607">
        <v>7.73</v>
      </c>
      <c r="J17" s="608">
        <v>0</v>
      </c>
      <c r="K17" s="608">
        <v>573</v>
      </c>
      <c r="L17" s="608">
        <v>275</v>
      </c>
      <c r="M17" s="608">
        <v>655</v>
      </c>
      <c r="N17" s="608">
        <v>738</v>
      </c>
      <c r="O17" s="608">
        <v>196</v>
      </c>
      <c r="P17" s="608">
        <v>243</v>
      </c>
      <c r="R17" s="575" t="s">
        <v>3</v>
      </c>
      <c r="S17" s="575">
        <v>3</v>
      </c>
      <c r="T17" s="575">
        <v>2</v>
      </c>
      <c r="U17" s="575">
        <v>1.5</v>
      </c>
      <c r="V17" s="575">
        <v>1</v>
      </c>
      <c r="W17" s="575" t="s">
        <v>460</v>
      </c>
      <c r="X17" s="610">
        <v>46621</v>
      </c>
      <c r="Y17" s="609">
        <v>14.94</v>
      </c>
      <c r="Z17" s="531">
        <v>382</v>
      </c>
      <c r="AA17" s="531">
        <v>765</v>
      </c>
      <c r="AB17" s="531">
        <v>391</v>
      </c>
      <c r="AC17" s="531">
        <v>900</v>
      </c>
      <c r="AD17" s="531">
        <v>852</v>
      </c>
      <c r="AE17" s="531">
        <v>233</v>
      </c>
      <c r="AF17" s="531">
        <v>363</v>
      </c>
      <c r="AH17" s="598"/>
      <c r="AI17" s="598"/>
      <c r="AJ17" s="598"/>
      <c r="AK17" s="598"/>
      <c r="AL17" s="598"/>
      <c r="AM17" s="598"/>
      <c r="AN17" s="602"/>
      <c r="AO17" s="599"/>
      <c r="AP17" s="603"/>
      <c r="AQ17" s="603"/>
      <c r="AR17" s="603"/>
      <c r="AS17" s="603"/>
      <c r="AT17" s="603"/>
      <c r="AU17" s="603"/>
      <c r="AV17" s="603"/>
      <c r="AX17" s="598" t="s">
        <v>3</v>
      </c>
      <c r="AY17" s="598">
        <v>4</v>
      </c>
      <c r="AZ17" s="598">
        <v>2</v>
      </c>
      <c r="BA17" s="598">
        <v>1.5</v>
      </c>
      <c r="BB17" s="598">
        <v>2</v>
      </c>
      <c r="BC17" s="598" t="s">
        <v>460</v>
      </c>
      <c r="BD17" s="602">
        <v>67069</v>
      </c>
      <c r="BE17" s="599">
        <v>21.5</v>
      </c>
      <c r="BF17" s="603">
        <v>699</v>
      </c>
      <c r="BG17" s="603">
        <v>985</v>
      </c>
      <c r="BH17" s="603">
        <v>426</v>
      </c>
      <c r="BI17" s="603">
        <v>1266</v>
      </c>
      <c r="BJ17" s="603">
        <v>758</v>
      </c>
      <c r="BK17" s="603">
        <v>658</v>
      </c>
      <c r="BL17" s="603">
        <v>797</v>
      </c>
    </row>
    <row r="18" spans="1:64">
      <c r="B18" s="143" t="s">
        <v>3</v>
      </c>
      <c r="C18" s="143">
        <v>3</v>
      </c>
      <c r="D18" s="143">
        <v>2</v>
      </c>
      <c r="E18" s="143">
        <v>2</v>
      </c>
      <c r="F18" s="143">
        <v>1</v>
      </c>
      <c r="G18" s="143" t="s">
        <v>460</v>
      </c>
      <c r="H18" s="531">
        <v>51092</v>
      </c>
      <c r="I18" s="607">
        <v>12.28</v>
      </c>
      <c r="J18" s="608">
        <v>725</v>
      </c>
      <c r="K18" s="608">
        <v>743</v>
      </c>
      <c r="L18" s="608">
        <v>330</v>
      </c>
      <c r="M18" s="608">
        <v>882</v>
      </c>
      <c r="N18" s="608">
        <v>880</v>
      </c>
      <c r="O18" s="608">
        <v>260</v>
      </c>
      <c r="P18" s="608">
        <v>438</v>
      </c>
      <c r="R18" s="143" t="s">
        <v>3</v>
      </c>
      <c r="S18" s="143">
        <v>4</v>
      </c>
      <c r="T18" s="143">
        <v>2</v>
      </c>
      <c r="U18" s="143">
        <v>1.5</v>
      </c>
      <c r="V18" s="143">
        <v>2</v>
      </c>
      <c r="W18" s="143" t="s">
        <v>460</v>
      </c>
      <c r="X18" s="531">
        <v>59113</v>
      </c>
      <c r="Y18" s="607">
        <v>18.9499999999999</v>
      </c>
      <c r="Z18" s="608">
        <v>665</v>
      </c>
      <c r="AA18" s="608">
        <v>996</v>
      </c>
      <c r="AB18" s="608">
        <v>401</v>
      </c>
      <c r="AC18" s="608">
        <v>1206</v>
      </c>
      <c r="AD18" s="608">
        <v>875</v>
      </c>
      <c r="AE18" s="608">
        <v>308</v>
      </c>
      <c r="AF18" s="608">
        <v>475</v>
      </c>
      <c r="AH18" s="598"/>
      <c r="AI18" s="598"/>
      <c r="AJ18" s="598"/>
      <c r="AK18" s="598"/>
      <c r="AL18" s="598"/>
      <c r="AM18" s="598"/>
      <c r="AN18" s="602"/>
      <c r="AO18" s="599"/>
      <c r="AP18" s="603"/>
      <c r="AQ18" s="603"/>
      <c r="AR18" s="603"/>
      <c r="AS18" s="603"/>
      <c r="AT18" s="603"/>
      <c r="AU18" s="603"/>
      <c r="AV18" s="603"/>
      <c r="AX18" s="598" t="s">
        <v>3</v>
      </c>
      <c r="AY18" s="598">
        <v>6</v>
      </c>
      <c r="AZ18" s="598">
        <v>2</v>
      </c>
      <c r="BA18" s="598">
        <v>1.5</v>
      </c>
      <c r="BB18" s="598">
        <v>4</v>
      </c>
      <c r="BC18" s="598" t="s">
        <v>460</v>
      </c>
      <c r="BD18" s="602">
        <v>74510</v>
      </c>
      <c r="BE18" s="599">
        <v>23.88</v>
      </c>
      <c r="BF18" s="603">
        <v>699</v>
      </c>
      <c r="BG18" s="603">
        <v>1454</v>
      </c>
      <c r="BH18" s="603">
        <v>443</v>
      </c>
      <c r="BI18" s="603">
        <v>1266</v>
      </c>
      <c r="BJ18" s="603">
        <v>831</v>
      </c>
      <c r="BK18" s="603">
        <v>795</v>
      </c>
      <c r="BL18" s="603">
        <v>721</v>
      </c>
    </row>
    <row r="19" spans="1:64">
      <c r="B19" s="143" t="s">
        <v>3</v>
      </c>
      <c r="C19" s="143">
        <v>6</v>
      </c>
      <c r="D19" s="143">
        <v>2</v>
      </c>
      <c r="E19" s="143">
        <v>2</v>
      </c>
      <c r="F19" s="143">
        <v>4</v>
      </c>
      <c r="G19" s="143" t="s">
        <v>460</v>
      </c>
      <c r="H19" s="531">
        <v>70015</v>
      </c>
      <c r="I19" s="607">
        <v>16.829999999999998</v>
      </c>
      <c r="J19" s="608">
        <v>1095</v>
      </c>
      <c r="K19" s="608">
        <v>1422</v>
      </c>
      <c r="L19" s="608">
        <v>361</v>
      </c>
      <c r="M19" s="608">
        <v>1181</v>
      </c>
      <c r="N19" s="608">
        <v>950</v>
      </c>
      <c r="O19" s="608">
        <v>417</v>
      </c>
      <c r="P19" s="608">
        <v>408</v>
      </c>
      <c r="R19" s="143" t="s">
        <v>3</v>
      </c>
      <c r="S19" s="143">
        <v>4</v>
      </c>
      <c r="T19" s="143">
        <v>2</v>
      </c>
      <c r="U19" s="143">
        <v>2</v>
      </c>
      <c r="V19" s="143">
        <v>2</v>
      </c>
      <c r="W19" s="143" t="s">
        <v>460</v>
      </c>
      <c r="X19" s="531">
        <v>69535</v>
      </c>
      <c r="Y19" s="607">
        <v>16.719999999999899</v>
      </c>
      <c r="Z19" s="608">
        <v>1330</v>
      </c>
      <c r="AA19" s="608">
        <v>996</v>
      </c>
      <c r="AB19" s="608">
        <v>401</v>
      </c>
      <c r="AC19" s="608">
        <v>1206</v>
      </c>
      <c r="AD19" s="608">
        <v>875</v>
      </c>
      <c r="AE19" s="608">
        <v>308</v>
      </c>
      <c r="AF19" s="608">
        <v>679</v>
      </c>
      <c r="AH19" s="598"/>
      <c r="AI19" s="598"/>
      <c r="AJ19" s="598"/>
      <c r="AK19" s="598"/>
      <c r="AL19" s="598"/>
      <c r="AM19" s="598"/>
      <c r="AN19" s="602"/>
      <c r="AO19" s="599"/>
      <c r="AP19" s="603"/>
      <c r="AQ19" s="603"/>
      <c r="AR19" s="603"/>
      <c r="AS19" s="603"/>
      <c r="AT19" s="603"/>
      <c r="AU19" s="603"/>
      <c r="AV19" s="603"/>
      <c r="AX19" s="598" t="s">
        <v>3</v>
      </c>
      <c r="AY19" s="598">
        <v>2</v>
      </c>
      <c r="AZ19" s="598">
        <v>2</v>
      </c>
      <c r="BA19" s="598">
        <v>1</v>
      </c>
      <c r="BB19" s="598">
        <v>0</v>
      </c>
      <c r="BC19" s="598" t="s">
        <v>461</v>
      </c>
      <c r="BD19" s="602">
        <v>36368</v>
      </c>
      <c r="BE19" s="599">
        <v>17.48</v>
      </c>
      <c r="BF19" s="603">
        <v>0</v>
      </c>
      <c r="BG19" s="603">
        <v>582</v>
      </c>
      <c r="BH19" s="603">
        <v>356</v>
      </c>
      <c r="BI19" s="603">
        <v>738</v>
      </c>
      <c r="BJ19" s="603">
        <v>617</v>
      </c>
      <c r="BK19" s="603">
        <v>386</v>
      </c>
      <c r="BL19" s="603">
        <v>352</v>
      </c>
    </row>
    <row r="20" spans="1:64">
      <c r="B20" s="143" t="s">
        <v>3</v>
      </c>
      <c r="C20" s="143">
        <v>1</v>
      </c>
      <c r="D20" s="143">
        <v>1</v>
      </c>
      <c r="E20" s="143">
        <v>1</v>
      </c>
      <c r="F20" s="143">
        <v>0</v>
      </c>
      <c r="G20" s="143" t="s">
        <v>460</v>
      </c>
      <c r="H20" s="531">
        <v>22351</v>
      </c>
      <c r="I20" s="607">
        <v>10.75</v>
      </c>
      <c r="J20" s="608">
        <v>0</v>
      </c>
      <c r="K20" s="608">
        <v>352</v>
      </c>
      <c r="L20" s="608">
        <v>106</v>
      </c>
      <c r="M20" s="608">
        <v>649</v>
      </c>
      <c r="N20" s="608">
        <v>420</v>
      </c>
      <c r="O20" s="608">
        <v>160</v>
      </c>
      <c r="P20" s="608">
        <v>176</v>
      </c>
      <c r="R20" s="143" t="s">
        <v>3</v>
      </c>
      <c r="S20" s="143">
        <v>3</v>
      </c>
      <c r="T20" s="143">
        <v>1</v>
      </c>
      <c r="U20" s="143">
        <v>1</v>
      </c>
      <c r="V20" s="143">
        <v>2</v>
      </c>
      <c r="W20" s="143" t="s">
        <v>460</v>
      </c>
      <c r="X20" s="531">
        <v>60821</v>
      </c>
      <c r="Y20" s="607">
        <v>29.239999999999899</v>
      </c>
      <c r="Z20" s="608">
        <v>1330</v>
      </c>
      <c r="AA20" s="608">
        <v>730</v>
      </c>
      <c r="AB20" s="608">
        <v>381</v>
      </c>
      <c r="AC20" s="608">
        <v>1206</v>
      </c>
      <c r="AD20" s="608">
        <v>546</v>
      </c>
      <c r="AE20" s="608">
        <v>271</v>
      </c>
      <c r="AF20" s="608">
        <v>605</v>
      </c>
      <c r="AH20" s="598"/>
      <c r="AI20" s="598"/>
      <c r="AJ20" s="598"/>
      <c r="AK20" s="598"/>
      <c r="AL20" s="598"/>
      <c r="AM20" s="598"/>
      <c r="AN20" s="602"/>
      <c r="AO20" s="599"/>
      <c r="AP20" s="603"/>
      <c r="AQ20" s="603"/>
      <c r="AR20" s="603"/>
      <c r="AS20" s="603"/>
      <c r="AT20" s="603"/>
      <c r="AU20" s="603"/>
      <c r="AV20" s="603"/>
      <c r="AX20" s="598" t="s">
        <v>3</v>
      </c>
      <c r="AY20" s="598">
        <v>3</v>
      </c>
      <c r="AZ20" s="598">
        <v>2</v>
      </c>
      <c r="BA20" s="598">
        <v>1</v>
      </c>
      <c r="BB20" s="598">
        <v>1</v>
      </c>
      <c r="BC20" s="598" t="s">
        <v>460</v>
      </c>
      <c r="BD20" s="602">
        <v>44067</v>
      </c>
      <c r="BE20" s="599">
        <v>21.19</v>
      </c>
      <c r="BF20" s="603">
        <v>0</v>
      </c>
      <c r="BG20" s="603">
        <v>756</v>
      </c>
      <c r="BH20" s="603">
        <v>417</v>
      </c>
      <c r="BI20" s="603">
        <v>959</v>
      </c>
      <c r="BJ20" s="603">
        <v>714</v>
      </c>
      <c r="BK20" s="603">
        <v>501</v>
      </c>
      <c r="BL20" s="603">
        <v>325</v>
      </c>
    </row>
    <row r="21" spans="1:64">
      <c r="B21" s="143" t="s">
        <v>3</v>
      </c>
      <c r="C21" s="143">
        <v>5</v>
      </c>
      <c r="D21" s="143">
        <v>2</v>
      </c>
      <c r="E21" s="143">
        <v>1.5</v>
      </c>
      <c r="F21" s="143">
        <v>3</v>
      </c>
      <c r="G21" s="143" t="s">
        <v>460</v>
      </c>
      <c r="H21" s="531">
        <v>58717</v>
      </c>
      <c r="I21" s="607">
        <v>18.82</v>
      </c>
      <c r="J21" s="608">
        <v>548</v>
      </c>
      <c r="K21" s="608">
        <v>1193</v>
      </c>
      <c r="L21" s="608">
        <v>351</v>
      </c>
      <c r="M21" s="608">
        <v>1181</v>
      </c>
      <c r="N21" s="608">
        <v>927</v>
      </c>
      <c r="O21" s="608">
        <v>380</v>
      </c>
      <c r="P21" s="608">
        <v>313</v>
      </c>
      <c r="R21" s="143" t="s">
        <v>3</v>
      </c>
      <c r="S21" s="143">
        <v>4</v>
      </c>
      <c r="T21" s="143">
        <v>2</v>
      </c>
      <c r="U21" s="143">
        <v>1</v>
      </c>
      <c r="V21" s="143">
        <v>2</v>
      </c>
      <c r="W21" s="143" t="s">
        <v>460</v>
      </c>
      <c r="X21" s="531">
        <v>47719</v>
      </c>
      <c r="Y21" s="607">
        <v>22.94</v>
      </c>
      <c r="Z21" s="608">
        <v>0</v>
      </c>
      <c r="AA21" s="608">
        <v>996</v>
      </c>
      <c r="AB21" s="608">
        <v>401</v>
      </c>
      <c r="AC21" s="608">
        <v>1206</v>
      </c>
      <c r="AD21" s="608">
        <v>717</v>
      </c>
      <c r="AE21" s="608">
        <v>308</v>
      </c>
      <c r="AF21" s="608">
        <v>349</v>
      </c>
      <c r="AH21" s="598"/>
      <c r="AI21" s="598"/>
      <c r="AJ21" s="598"/>
      <c r="AK21" s="598"/>
      <c r="AL21" s="598"/>
      <c r="AM21" s="598"/>
      <c r="AN21" s="602"/>
      <c r="AO21" s="599"/>
      <c r="AP21" s="603"/>
      <c r="AQ21" s="603"/>
      <c r="AR21" s="603"/>
      <c r="AS21" s="603"/>
      <c r="AT21" s="603"/>
      <c r="AU21" s="603"/>
      <c r="AV21" s="603"/>
      <c r="AX21" s="598" t="s">
        <v>3</v>
      </c>
      <c r="AY21" s="598">
        <v>1</v>
      </c>
      <c r="AZ21" s="598">
        <v>1</v>
      </c>
      <c r="BA21" s="598">
        <v>1</v>
      </c>
      <c r="BB21" s="598">
        <v>0</v>
      </c>
      <c r="BC21" s="598" t="s">
        <v>460</v>
      </c>
      <c r="BD21" s="602">
        <v>29182</v>
      </c>
      <c r="BE21" s="599">
        <v>14.03</v>
      </c>
      <c r="BF21" s="603">
        <v>0</v>
      </c>
      <c r="BG21" s="603">
        <v>331</v>
      </c>
      <c r="BH21" s="603">
        <v>134</v>
      </c>
      <c r="BI21" s="603">
        <v>724</v>
      </c>
      <c r="BJ21" s="603">
        <v>583</v>
      </c>
      <c r="BK21" s="603">
        <v>308</v>
      </c>
      <c r="BL21" s="603">
        <v>352</v>
      </c>
    </row>
    <row r="22" spans="1:64">
      <c r="B22" s="143" t="s">
        <v>3</v>
      </c>
      <c r="C22" s="143">
        <v>1</v>
      </c>
      <c r="D22" s="143">
        <v>1</v>
      </c>
      <c r="E22" s="143">
        <v>1</v>
      </c>
      <c r="F22" s="143">
        <v>0</v>
      </c>
      <c r="G22" s="143" t="s">
        <v>461</v>
      </c>
      <c r="H22" s="531">
        <v>22496</v>
      </c>
      <c r="I22" s="607">
        <v>10.82</v>
      </c>
      <c r="J22" s="608">
        <v>0</v>
      </c>
      <c r="K22" s="608">
        <v>329</v>
      </c>
      <c r="L22" s="608">
        <v>142</v>
      </c>
      <c r="M22" s="608">
        <v>649</v>
      </c>
      <c r="N22" s="608">
        <v>420</v>
      </c>
      <c r="O22" s="608">
        <v>156</v>
      </c>
      <c r="P22" s="608">
        <v>178</v>
      </c>
      <c r="R22" s="143" t="s">
        <v>3</v>
      </c>
      <c r="S22" s="143">
        <v>5</v>
      </c>
      <c r="T22" s="143">
        <v>2</v>
      </c>
      <c r="U22" s="143">
        <v>1</v>
      </c>
      <c r="V22" s="143">
        <v>3</v>
      </c>
      <c r="W22" s="143" t="s">
        <v>460</v>
      </c>
      <c r="X22" s="531">
        <v>51052</v>
      </c>
      <c r="Y22" s="607">
        <v>24.5399999999999</v>
      </c>
      <c r="Z22" s="608">
        <v>0</v>
      </c>
      <c r="AA22" s="608">
        <v>1229</v>
      </c>
      <c r="AB22" s="608">
        <v>411</v>
      </c>
      <c r="AC22" s="608">
        <v>1206</v>
      </c>
      <c r="AD22" s="608">
        <v>779</v>
      </c>
      <c r="AE22" s="608">
        <v>341</v>
      </c>
      <c r="AF22" s="608">
        <v>289</v>
      </c>
      <c r="AH22" s="598"/>
      <c r="AI22" s="598"/>
      <c r="AJ22" s="598"/>
      <c r="AK22" s="598"/>
      <c r="AL22" s="598"/>
      <c r="AM22" s="598"/>
      <c r="AN22" s="602"/>
      <c r="AO22" s="599"/>
      <c r="AP22" s="603"/>
      <c r="AQ22" s="603"/>
      <c r="AR22" s="603"/>
      <c r="AS22" s="603"/>
      <c r="AT22" s="603"/>
      <c r="AU22" s="603"/>
      <c r="AV22" s="603"/>
      <c r="AX22" s="598" t="s">
        <v>3</v>
      </c>
      <c r="AY22" s="598">
        <v>2</v>
      </c>
      <c r="AZ22" s="598">
        <v>2</v>
      </c>
      <c r="BA22" s="598">
        <v>1.5</v>
      </c>
      <c r="BB22" s="598">
        <v>0</v>
      </c>
      <c r="BC22" s="598" t="s">
        <v>460</v>
      </c>
      <c r="BD22" s="602">
        <v>36509</v>
      </c>
      <c r="BE22" s="599">
        <v>11.7</v>
      </c>
      <c r="BF22" s="603">
        <v>0</v>
      </c>
      <c r="BG22" s="603">
        <v>607</v>
      </c>
      <c r="BH22" s="603">
        <v>276</v>
      </c>
      <c r="BI22" s="603">
        <v>738</v>
      </c>
      <c r="BJ22" s="603">
        <v>617</v>
      </c>
      <c r="BK22" s="603">
        <v>393</v>
      </c>
      <c r="BL22" s="603">
        <v>411</v>
      </c>
    </row>
    <row r="23" spans="1:64">
      <c r="B23" s="143" t="s">
        <v>3</v>
      </c>
      <c r="C23" s="143">
        <v>2</v>
      </c>
      <c r="D23" s="143">
        <v>1</v>
      </c>
      <c r="E23" s="143">
        <v>1</v>
      </c>
      <c r="F23" s="143">
        <v>1</v>
      </c>
      <c r="G23" s="143" t="s">
        <v>460</v>
      </c>
      <c r="H23" s="531">
        <v>39360</v>
      </c>
      <c r="I23" s="607">
        <v>18.920000000000002</v>
      </c>
      <c r="J23" s="608">
        <v>725</v>
      </c>
      <c r="K23" s="608">
        <v>456</v>
      </c>
      <c r="L23" s="608">
        <v>197</v>
      </c>
      <c r="M23" s="608">
        <v>882</v>
      </c>
      <c r="N23" s="608">
        <v>520</v>
      </c>
      <c r="O23" s="608">
        <v>214</v>
      </c>
      <c r="P23" s="608">
        <v>286</v>
      </c>
      <c r="R23" s="143" t="s">
        <v>3</v>
      </c>
      <c r="S23" s="143">
        <v>4</v>
      </c>
      <c r="T23" s="143">
        <v>1</v>
      </c>
      <c r="U23" s="143">
        <v>1</v>
      </c>
      <c r="V23" s="143">
        <v>3</v>
      </c>
      <c r="W23" s="143" t="s">
        <v>460</v>
      </c>
      <c r="X23" s="531">
        <v>64457</v>
      </c>
      <c r="Y23" s="607">
        <v>30.989999999999899</v>
      </c>
      <c r="Z23" s="608">
        <v>1330</v>
      </c>
      <c r="AA23" s="608">
        <v>993</v>
      </c>
      <c r="AB23" s="608">
        <v>391</v>
      </c>
      <c r="AC23" s="608">
        <v>1206</v>
      </c>
      <c r="AD23" s="608">
        <v>590</v>
      </c>
      <c r="AE23" s="608">
        <v>308</v>
      </c>
      <c r="AF23" s="608">
        <v>555</v>
      </c>
      <c r="AH23" s="598"/>
      <c r="AI23" s="598"/>
      <c r="AJ23" s="598"/>
      <c r="AK23" s="598"/>
      <c r="AL23" s="598"/>
      <c r="AM23" s="598"/>
      <c r="AN23" s="602"/>
      <c r="AO23" s="599"/>
      <c r="AP23" s="603"/>
      <c r="AQ23" s="603"/>
      <c r="AR23" s="603"/>
      <c r="AS23" s="603"/>
      <c r="AT23" s="603"/>
      <c r="AU23" s="603"/>
      <c r="AV23" s="603"/>
      <c r="AX23" s="598" t="s">
        <v>3</v>
      </c>
      <c r="AY23" s="598">
        <v>6</v>
      </c>
      <c r="AZ23" s="598">
        <v>2</v>
      </c>
      <c r="BA23" s="598">
        <v>2</v>
      </c>
      <c r="BB23" s="598">
        <v>4</v>
      </c>
      <c r="BC23" s="598" t="s">
        <v>460</v>
      </c>
      <c r="BD23" s="602">
        <v>85707</v>
      </c>
      <c r="BE23" s="599">
        <v>20.6</v>
      </c>
      <c r="BF23" s="603">
        <v>1398</v>
      </c>
      <c r="BG23" s="603">
        <v>1454</v>
      </c>
      <c r="BH23" s="603">
        <v>443</v>
      </c>
      <c r="BI23" s="603">
        <v>1266</v>
      </c>
      <c r="BJ23" s="603">
        <v>831</v>
      </c>
      <c r="BK23" s="603">
        <v>795</v>
      </c>
      <c r="BL23" s="603">
        <v>955</v>
      </c>
    </row>
    <row r="24" spans="1:64">
      <c r="B24" s="143" t="s">
        <v>3</v>
      </c>
      <c r="C24" s="143">
        <v>6</v>
      </c>
      <c r="D24" s="143">
        <v>2</v>
      </c>
      <c r="E24" s="143">
        <v>1</v>
      </c>
      <c r="F24" s="143">
        <v>4</v>
      </c>
      <c r="G24" s="143" t="s">
        <v>460</v>
      </c>
      <c r="H24" s="531">
        <v>53125</v>
      </c>
      <c r="I24" s="607">
        <v>25.54</v>
      </c>
      <c r="J24" s="608">
        <v>0</v>
      </c>
      <c r="K24" s="608">
        <v>1422</v>
      </c>
      <c r="L24" s="608">
        <v>361</v>
      </c>
      <c r="M24" s="608">
        <v>1181</v>
      </c>
      <c r="N24" s="608">
        <v>869</v>
      </c>
      <c r="O24" s="608">
        <v>417</v>
      </c>
      <c r="P24" s="608">
        <v>177</v>
      </c>
      <c r="R24" s="143" t="s">
        <v>3</v>
      </c>
      <c r="S24" s="143">
        <v>5</v>
      </c>
      <c r="T24" s="143">
        <v>2</v>
      </c>
      <c r="U24" s="143">
        <v>2</v>
      </c>
      <c r="V24" s="143">
        <v>3</v>
      </c>
      <c r="W24" s="143" t="s">
        <v>460</v>
      </c>
      <c r="X24" s="531">
        <v>72267</v>
      </c>
      <c r="Y24" s="607">
        <v>17.37</v>
      </c>
      <c r="Z24" s="608">
        <v>1330</v>
      </c>
      <c r="AA24" s="608">
        <v>1229</v>
      </c>
      <c r="AB24" s="608">
        <v>411</v>
      </c>
      <c r="AC24" s="608">
        <v>1206</v>
      </c>
      <c r="AD24" s="608">
        <v>898</v>
      </c>
      <c r="AE24" s="608">
        <v>341</v>
      </c>
      <c r="AF24" s="608">
        <v>608</v>
      </c>
      <c r="AH24" s="598"/>
      <c r="AI24" s="598"/>
      <c r="AJ24" s="598"/>
      <c r="AK24" s="598"/>
      <c r="AL24" s="598"/>
      <c r="AM24" s="598"/>
      <c r="AN24" s="602"/>
      <c r="AO24" s="599"/>
      <c r="AP24" s="603"/>
      <c r="AQ24" s="603"/>
      <c r="AR24" s="603"/>
      <c r="AS24" s="603"/>
      <c r="AT24" s="603"/>
      <c r="AU24" s="603"/>
      <c r="AV24" s="603"/>
      <c r="AX24" s="598" t="s">
        <v>3</v>
      </c>
      <c r="AY24" s="598">
        <v>1</v>
      </c>
      <c r="AZ24" s="598">
        <v>1</v>
      </c>
      <c r="BA24" s="598">
        <v>1</v>
      </c>
      <c r="BB24" s="598">
        <v>0</v>
      </c>
      <c r="BC24" s="598" t="s">
        <v>461</v>
      </c>
      <c r="BD24" s="602">
        <v>29555</v>
      </c>
      <c r="BE24" s="599">
        <v>14.21</v>
      </c>
      <c r="BF24" s="603">
        <v>0</v>
      </c>
      <c r="BG24" s="603">
        <v>318</v>
      </c>
      <c r="BH24" s="603">
        <v>174</v>
      </c>
      <c r="BI24" s="603">
        <v>724</v>
      </c>
      <c r="BJ24" s="603">
        <v>583</v>
      </c>
      <c r="BK24" s="603">
        <v>304</v>
      </c>
      <c r="BL24" s="603">
        <v>360</v>
      </c>
    </row>
    <row r="25" spans="1:64">
      <c r="B25" s="143" t="s">
        <v>3</v>
      </c>
      <c r="C25" s="143">
        <v>2</v>
      </c>
      <c r="D25" s="143">
        <v>2</v>
      </c>
      <c r="E25" s="143">
        <v>1</v>
      </c>
      <c r="F25" s="143">
        <v>0</v>
      </c>
      <c r="G25" s="143" t="s">
        <v>461</v>
      </c>
      <c r="H25" s="531">
        <v>29584</v>
      </c>
      <c r="I25" s="607">
        <v>14.22</v>
      </c>
      <c r="J25" s="608">
        <v>0</v>
      </c>
      <c r="K25" s="608">
        <v>573</v>
      </c>
      <c r="L25" s="608">
        <v>275</v>
      </c>
      <c r="M25" s="608">
        <v>655</v>
      </c>
      <c r="N25" s="608">
        <v>570</v>
      </c>
      <c r="O25" s="608">
        <v>196</v>
      </c>
      <c r="P25" s="608">
        <v>196</v>
      </c>
      <c r="R25" s="143" t="s">
        <v>3</v>
      </c>
      <c r="S25" s="143">
        <v>5</v>
      </c>
      <c r="T25" s="143">
        <v>2</v>
      </c>
      <c r="U25" s="143">
        <v>1.5</v>
      </c>
      <c r="V25" s="143">
        <v>3</v>
      </c>
      <c r="W25" s="143" t="s">
        <v>460</v>
      </c>
      <c r="X25" s="531">
        <v>61858</v>
      </c>
      <c r="Y25" s="607">
        <v>19.829999999999899</v>
      </c>
      <c r="Z25" s="608">
        <v>665</v>
      </c>
      <c r="AA25" s="608">
        <v>1229</v>
      </c>
      <c r="AB25" s="608">
        <v>411</v>
      </c>
      <c r="AC25" s="608">
        <v>1206</v>
      </c>
      <c r="AD25" s="608">
        <v>898</v>
      </c>
      <c r="AE25" s="608">
        <v>341</v>
      </c>
      <c r="AF25" s="608">
        <v>406</v>
      </c>
      <c r="AH25" s="598"/>
      <c r="AI25" s="598"/>
      <c r="AJ25" s="598"/>
      <c r="AK25" s="598"/>
      <c r="AL25" s="598"/>
      <c r="AM25" s="598"/>
      <c r="AN25" s="602"/>
      <c r="AO25" s="599"/>
      <c r="AP25" s="603"/>
      <c r="AQ25" s="603"/>
      <c r="AR25" s="603"/>
      <c r="AS25" s="603"/>
      <c r="AT25" s="603"/>
      <c r="AU25" s="603"/>
      <c r="AV25" s="603"/>
      <c r="AX25" s="598" t="s">
        <v>3</v>
      </c>
      <c r="AY25" s="598">
        <v>5</v>
      </c>
      <c r="AZ25" s="598">
        <v>2</v>
      </c>
      <c r="BA25" s="598">
        <v>1</v>
      </c>
      <c r="BB25" s="598">
        <v>3</v>
      </c>
      <c r="BC25" s="598" t="s">
        <v>460</v>
      </c>
      <c r="BD25" s="602">
        <v>57157</v>
      </c>
      <c r="BE25" s="599">
        <v>27.48</v>
      </c>
      <c r="BF25" s="603">
        <v>0</v>
      </c>
      <c r="BG25" s="603">
        <v>1193</v>
      </c>
      <c r="BH25" s="603">
        <v>435</v>
      </c>
      <c r="BI25" s="603">
        <v>1266</v>
      </c>
      <c r="BJ25" s="603">
        <v>802</v>
      </c>
      <c r="BK25" s="603">
        <v>719</v>
      </c>
      <c r="BL25" s="603">
        <v>348</v>
      </c>
    </row>
    <row r="26" spans="1:64">
      <c r="B26" s="143" t="s">
        <v>3</v>
      </c>
      <c r="C26" s="143">
        <v>3</v>
      </c>
      <c r="D26" s="143">
        <v>2</v>
      </c>
      <c r="E26" s="143">
        <v>1</v>
      </c>
      <c r="F26" s="143">
        <v>1</v>
      </c>
      <c r="G26" s="143" t="s">
        <v>460</v>
      </c>
      <c r="H26" s="531">
        <v>37664</v>
      </c>
      <c r="I26" s="607">
        <v>18.11</v>
      </c>
      <c r="J26" s="608">
        <v>0</v>
      </c>
      <c r="K26" s="608">
        <v>743</v>
      </c>
      <c r="L26" s="608">
        <v>330</v>
      </c>
      <c r="M26" s="608">
        <v>882</v>
      </c>
      <c r="N26" s="608">
        <v>677</v>
      </c>
      <c r="O26" s="608">
        <v>260</v>
      </c>
      <c r="P26" s="608">
        <v>246</v>
      </c>
      <c r="R26" s="143" t="s">
        <v>3</v>
      </c>
      <c r="S26" s="143">
        <v>6</v>
      </c>
      <c r="T26" s="143">
        <v>2</v>
      </c>
      <c r="U26" s="143">
        <v>1.5</v>
      </c>
      <c r="V26" s="143">
        <v>4</v>
      </c>
      <c r="W26" s="143" t="s">
        <v>460</v>
      </c>
      <c r="X26" s="531">
        <v>64713</v>
      </c>
      <c r="Y26" s="607">
        <v>20.739999999999899</v>
      </c>
      <c r="Z26" s="608">
        <v>665</v>
      </c>
      <c r="AA26" s="608">
        <v>1465</v>
      </c>
      <c r="AB26" s="608">
        <v>422</v>
      </c>
      <c r="AC26" s="608">
        <v>1206</v>
      </c>
      <c r="AD26" s="608">
        <v>921</v>
      </c>
      <c r="AE26" s="608">
        <v>374</v>
      </c>
      <c r="AF26" s="608">
        <v>340</v>
      </c>
      <c r="AH26" s="598"/>
      <c r="AI26" s="598"/>
      <c r="AJ26" s="598"/>
      <c r="AK26" s="598"/>
      <c r="AL26" s="598"/>
      <c r="AM26" s="598"/>
      <c r="AN26" s="602"/>
      <c r="AO26" s="599"/>
      <c r="AP26" s="603"/>
      <c r="AQ26" s="603"/>
      <c r="AR26" s="603"/>
      <c r="AS26" s="603"/>
      <c r="AT26" s="603"/>
      <c r="AU26" s="603"/>
      <c r="AV26" s="603"/>
      <c r="AX26" s="598" t="s">
        <v>3</v>
      </c>
      <c r="AY26" s="598">
        <v>5</v>
      </c>
      <c r="AZ26" s="598">
        <v>2</v>
      </c>
      <c r="BA26" s="598">
        <v>2</v>
      </c>
      <c r="BB26" s="598">
        <v>3</v>
      </c>
      <c r="BC26" s="598" t="s">
        <v>460</v>
      </c>
      <c r="BD26" s="602">
        <v>81537</v>
      </c>
      <c r="BE26" s="599">
        <v>19.600000000000001</v>
      </c>
      <c r="BF26" s="603">
        <v>1398</v>
      </c>
      <c r="BG26" s="603">
        <v>1193</v>
      </c>
      <c r="BH26" s="603">
        <v>435</v>
      </c>
      <c r="BI26" s="603">
        <v>1266</v>
      </c>
      <c r="BJ26" s="603">
        <v>802</v>
      </c>
      <c r="BK26" s="603">
        <v>719</v>
      </c>
      <c r="BL26" s="603">
        <v>982</v>
      </c>
    </row>
    <row r="27" spans="1:64">
      <c r="B27" s="143" t="s">
        <v>3</v>
      </c>
      <c r="C27" s="143">
        <v>4</v>
      </c>
      <c r="D27" s="143">
        <v>2</v>
      </c>
      <c r="E27" s="143">
        <v>1</v>
      </c>
      <c r="F27" s="143">
        <v>2</v>
      </c>
      <c r="G27" s="143" t="s">
        <v>460</v>
      </c>
      <c r="H27" s="531">
        <v>46419</v>
      </c>
      <c r="I27" s="607">
        <v>22.32</v>
      </c>
      <c r="J27" s="608">
        <v>0</v>
      </c>
      <c r="K27" s="608">
        <v>967</v>
      </c>
      <c r="L27" s="608">
        <v>341</v>
      </c>
      <c r="M27" s="608">
        <v>1181</v>
      </c>
      <c r="N27" s="608">
        <v>741</v>
      </c>
      <c r="O27" s="608">
        <v>344</v>
      </c>
      <c r="P27" s="608">
        <v>294</v>
      </c>
      <c r="R27" s="143" t="s">
        <v>3</v>
      </c>
      <c r="S27" s="143">
        <v>6</v>
      </c>
      <c r="T27" s="143">
        <v>2</v>
      </c>
      <c r="U27" s="143">
        <v>1</v>
      </c>
      <c r="V27" s="143">
        <v>4</v>
      </c>
      <c r="W27" s="143" t="s">
        <v>460</v>
      </c>
      <c r="X27" s="531">
        <v>54530</v>
      </c>
      <c r="Y27" s="607">
        <v>26.219999999999899</v>
      </c>
      <c r="Z27" s="608">
        <v>0</v>
      </c>
      <c r="AA27" s="608">
        <v>1465</v>
      </c>
      <c r="AB27" s="608">
        <v>422</v>
      </c>
      <c r="AC27" s="608">
        <v>1206</v>
      </c>
      <c r="AD27" s="608">
        <v>842</v>
      </c>
      <c r="AE27" s="608">
        <v>374</v>
      </c>
      <c r="AF27" s="608">
        <v>235</v>
      </c>
      <c r="AH27" s="598"/>
      <c r="AI27" s="598"/>
      <c r="AJ27" s="598"/>
      <c r="AK27" s="598"/>
      <c r="AL27" s="598"/>
      <c r="AM27" s="598"/>
      <c r="AN27" s="602"/>
      <c r="AO27" s="599"/>
      <c r="AP27" s="603"/>
      <c r="AQ27" s="603"/>
      <c r="AR27" s="603"/>
      <c r="AS27" s="603"/>
      <c r="AT27" s="603"/>
      <c r="AU27" s="603"/>
      <c r="AV27" s="603"/>
      <c r="AX27" s="598" t="s">
        <v>3</v>
      </c>
      <c r="AY27" s="598">
        <v>2</v>
      </c>
      <c r="AZ27" s="598">
        <v>2</v>
      </c>
      <c r="BA27" s="598">
        <v>2</v>
      </c>
      <c r="BB27" s="598">
        <v>0</v>
      </c>
      <c r="BC27" s="598" t="s">
        <v>461</v>
      </c>
      <c r="BD27" s="602">
        <v>37269</v>
      </c>
      <c r="BE27" s="599">
        <v>8.9600000000000009</v>
      </c>
      <c r="BF27" s="603">
        <v>0</v>
      </c>
      <c r="BG27" s="603">
        <v>582</v>
      </c>
      <c r="BH27" s="603">
        <v>356</v>
      </c>
      <c r="BI27" s="603">
        <v>738</v>
      </c>
      <c r="BJ27" s="603">
        <v>617</v>
      </c>
      <c r="BK27" s="603">
        <v>386</v>
      </c>
      <c r="BL27" s="603">
        <v>427</v>
      </c>
    </row>
    <row r="28" spans="1:64">
      <c r="B28" s="143" t="s">
        <v>3</v>
      </c>
      <c r="C28" s="143">
        <v>5</v>
      </c>
      <c r="D28" s="143">
        <v>2</v>
      </c>
      <c r="E28" s="143">
        <v>1</v>
      </c>
      <c r="F28" s="143">
        <v>3</v>
      </c>
      <c r="G28" s="143" t="s">
        <v>460</v>
      </c>
      <c r="H28" s="531">
        <v>49714</v>
      </c>
      <c r="I28" s="607">
        <v>23.9</v>
      </c>
      <c r="J28" s="608">
        <v>0</v>
      </c>
      <c r="K28" s="608">
        <v>1193</v>
      </c>
      <c r="L28" s="608">
        <v>351</v>
      </c>
      <c r="M28" s="608">
        <v>1181</v>
      </c>
      <c r="N28" s="608">
        <v>805</v>
      </c>
      <c r="O28" s="608">
        <v>380</v>
      </c>
      <c r="P28" s="608">
        <v>233</v>
      </c>
      <c r="R28" s="143" t="s">
        <v>3</v>
      </c>
      <c r="S28" s="143">
        <v>6</v>
      </c>
      <c r="T28" s="143">
        <v>2</v>
      </c>
      <c r="U28" s="143">
        <v>2</v>
      </c>
      <c r="V28" s="143">
        <v>4</v>
      </c>
      <c r="W28" s="143" t="s">
        <v>460</v>
      </c>
      <c r="X28" s="531">
        <v>75121</v>
      </c>
      <c r="Y28" s="607">
        <v>18.059999999999899</v>
      </c>
      <c r="Z28" s="608">
        <v>1330</v>
      </c>
      <c r="AA28" s="608">
        <v>1465</v>
      </c>
      <c r="AB28" s="608">
        <v>422</v>
      </c>
      <c r="AC28" s="608">
        <v>1206</v>
      </c>
      <c r="AD28" s="608">
        <v>921</v>
      </c>
      <c r="AE28" s="608">
        <v>374</v>
      </c>
      <c r="AF28" s="608">
        <v>543</v>
      </c>
      <c r="AH28" s="598"/>
      <c r="AI28" s="598"/>
      <c r="AJ28" s="598"/>
      <c r="AK28" s="598"/>
      <c r="AL28" s="598"/>
      <c r="AM28" s="598"/>
      <c r="AN28" s="602"/>
      <c r="AO28" s="599"/>
      <c r="AP28" s="603"/>
      <c r="AQ28" s="603"/>
      <c r="AR28" s="603"/>
      <c r="AS28" s="603"/>
      <c r="AT28" s="603"/>
      <c r="AU28" s="603"/>
      <c r="AV28" s="603"/>
      <c r="AX28" s="598" t="s">
        <v>3</v>
      </c>
      <c r="AY28" s="598">
        <v>2</v>
      </c>
      <c r="AZ28" s="598">
        <v>2</v>
      </c>
      <c r="BA28" s="598">
        <v>1.5</v>
      </c>
      <c r="BB28" s="598">
        <v>0</v>
      </c>
      <c r="BC28" s="598" t="s">
        <v>461</v>
      </c>
      <c r="BD28" s="602">
        <v>37269</v>
      </c>
      <c r="BE28" s="599">
        <v>11.95</v>
      </c>
      <c r="BF28" s="603">
        <v>0</v>
      </c>
      <c r="BG28" s="603">
        <v>582</v>
      </c>
      <c r="BH28" s="603">
        <v>356</v>
      </c>
      <c r="BI28" s="603">
        <v>738</v>
      </c>
      <c r="BJ28" s="603">
        <v>617</v>
      </c>
      <c r="BK28" s="603">
        <v>386</v>
      </c>
      <c r="BL28" s="603">
        <v>427</v>
      </c>
    </row>
    <row r="29" spans="1:64">
      <c r="B29" s="143" t="s">
        <v>3</v>
      </c>
      <c r="C29" s="143">
        <v>2</v>
      </c>
      <c r="D29" s="143">
        <v>2</v>
      </c>
      <c r="E29" s="143">
        <v>1</v>
      </c>
      <c r="F29" s="143">
        <v>0</v>
      </c>
      <c r="G29" s="143" t="s">
        <v>460</v>
      </c>
      <c r="H29" s="531">
        <v>28969</v>
      </c>
      <c r="I29" s="607">
        <v>13.93</v>
      </c>
      <c r="J29" s="608">
        <v>0</v>
      </c>
      <c r="K29" s="608">
        <v>598</v>
      </c>
      <c r="L29" s="608">
        <v>204</v>
      </c>
      <c r="M29" s="608">
        <v>655</v>
      </c>
      <c r="N29" s="608">
        <v>570</v>
      </c>
      <c r="O29" s="608">
        <v>201</v>
      </c>
      <c r="P29" s="608">
        <v>186</v>
      </c>
      <c r="R29" s="143" t="s">
        <v>3</v>
      </c>
      <c r="S29" s="143">
        <v>5</v>
      </c>
      <c r="T29" s="143">
        <v>1</v>
      </c>
      <c r="U29" s="143">
        <v>1</v>
      </c>
      <c r="V29" s="143">
        <v>4</v>
      </c>
      <c r="W29" s="143" t="s">
        <v>460</v>
      </c>
      <c r="X29" s="531">
        <v>66704</v>
      </c>
      <c r="Y29" s="607">
        <v>32.07</v>
      </c>
      <c r="Z29" s="608">
        <v>1330</v>
      </c>
      <c r="AA29" s="608">
        <v>1179</v>
      </c>
      <c r="AB29" s="608">
        <v>402</v>
      </c>
      <c r="AC29" s="608">
        <v>1206</v>
      </c>
      <c r="AD29" s="608">
        <v>633</v>
      </c>
      <c r="AE29" s="608">
        <v>334</v>
      </c>
      <c r="AF29" s="608">
        <v>475</v>
      </c>
      <c r="AH29" s="598"/>
      <c r="AI29" s="598"/>
      <c r="AJ29" s="598"/>
      <c r="AK29" s="598"/>
      <c r="AL29" s="598"/>
      <c r="AM29" s="598"/>
      <c r="AN29" s="602"/>
      <c r="AO29" s="599"/>
      <c r="AP29" s="603"/>
      <c r="AQ29" s="603"/>
      <c r="AR29" s="603"/>
      <c r="AS29" s="603"/>
      <c r="AT29" s="603"/>
      <c r="AU29" s="603"/>
      <c r="AV29" s="603"/>
      <c r="AX29" s="598" t="s">
        <v>3</v>
      </c>
      <c r="AY29" s="598">
        <v>5</v>
      </c>
      <c r="AZ29" s="598">
        <v>2</v>
      </c>
      <c r="BA29" s="598">
        <v>1.5</v>
      </c>
      <c r="BB29" s="598">
        <v>3</v>
      </c>
      <c r="BC29" s="598" t="s">
        <v>460</v>
      </c>
      <c r="BD29" s="602">
        <v>70369</v>
      </c>
      <c r="BE29" s="599">
        <v>22.55</v>
      </c>
      <c r="BF29" s="603">
        <v>699</v>
      </c>
      <c r="BG29" s="603">
        <v>1193</v>
      </c>
      <c r="BH29" s="603">
        <v>435</v>
      </c>
      <c r="BI29" s="603">
        <v>1266</v>
      </c>
      <c r="BJ29" s="603">
        <v>802</v>
      </c>
      <c r="BK29" s="603">
        <v>719</v>
      </c>
      <c r="BL29" s="603">
        <v>750</v>
      </c>
    </row>
    <row r="31" spans="1:64" s="21" customFormat="1" ht="30" customHeight="1">
      <c r="A31" s="21" t="s">
        <v>459</v>
      </c>
      <c r="B31" s="611" t="s">
        <v>444</v>
      </c>
      <c r="C31" s="611" t="s">
        <v>445</v>
      </c>
      <c r="D31" s="611" t="s">
        <v>446</v>
      </c>
      <c r="E31" s="611" t="s">
        <v>447</v>
      </c>
      <c r="F31" s="611" t="s">
        <v>448</v>
      </c>
      <c r="G31" s="611" t="s">
        <v>449</v>
      </c>
      <c r="H31" s="612" t="s">
        <v>450</v>
      </c>
      <c r="I31" s="611" t="s">
        <v>451</v>
      </c>
      <c r="J31" s="611" t="s">
        <v>452</v>
      </c>
      <c r="K31" s="611" t="s">
        <v>453</v>
      </c>
      <c r="L31" s="611" t="s">
        <v>454</v>
      </c>
      <c r="M31" s="611" t="s">
        <v>455</v>
      </c>
      <c r="N31" s="611" t="s">
        <v>456</v>
      </c>
      <c r="O31" s="611" t="s">
        <v>457</v>
      </c>
      <c r="P31" s="611" t="s">
        <v>458</v>
      </c>
      <c r="R31" s="611" t="s">
        <v>444</v>
      </c>
      <c r="S31" s="611" t="s">
        <v>445</v>
      </c>
      <c r="T31" s="611" t="s">
        <v>446</v>
      </c>
      <c r="U31" s="611" t="s">
        <v>447</v>
      </c>
      <c r="V31" s="611" t="s">
        <v>448</v>
      </c>
      <c r="W31" s="611" t="s">
        <v>449</v>
      </c>
      <c r="X31" s="612" t="s">
        <v>450</v>
      </c>
      <c r="Y31" s="611" t="s">
        <v>451</v>
      </c>
      <c r="Z31" s="611" t="s">
        <v>452</v>
      </c>
      <c r="AA31" s="611" t="s">
        <v>453</v>
      </c>
      <c r="AB31" s="611" t="s">
        <v>454</v>
      </c>
      <c r="AC31" s="611" t="s">
        <v>455</v>
      </c>
      <c r="AD31" s="611" t="s">
        <v>456</v>
      </c>
      <c r="AE31" s="611" t="s">
        <v>457</v>
      </c>
      <c r="AF31" s="611" t="s">
        <v>458</v>
      </c>
      <c r="AH31" s="611" t="s">
        <v>444</v>
      </c>
      <c r="AI31" s="611" t="s">
        <v>445</v>
      </c>
      <c r="AJ31" s="611" t="s">
        <v>446</v>
      </c>
      <c r="AK31" s="611" t="s">
        <v>447</v>
      </c>
      <c r="AL31" s="611" t="s">
        <v>448</v>
      </c>
      <c r="AM31" s="611" t="s">
        <v>449</v>
      </c>
      <c r="AN31" s="612" t="s">
        <v>450</v>
      </c>
      <c r="AO31" s="611" t="s">
        <v>451</v>
      </c>
      <c r="AP31" s="611" t="s">
        <v>452</v>
      </c>
      <c r="AQ31" s="611" t="s">
        <v>453</v>
      </c>
      <c r="AR31" s="611" t="s">
        <v>454</v>
      </c>
      <c r="AS31" s="611" t="s">
        <v>455</v>
      </c>
      <c r="AT31" s="611" t="s">
        <v>456</v>
      </c>
      <c r="AU31" s="611" t="s">
        <v>457</v>
      </c>
      <c r="AV31" s="611" t="s">
        <v>458</v>
      </c>
      <c r="AX31" s="611" t="s">
        <v>444</v>
      </c>
      <c r="AY31" s="611" t="s">
        <v>445</v>
      </c>
      <c r="AZ31" s="611" t="s">
        <v>446</v>
      </c>
      <c r="BA31" s="611" t="s">
        <v>447</v>
      </c>
      <c r="BB31" s="611" t="s">
        <v>448</v>
      </c>
      <c r="BC31" s="611" t="s">
        <v>449</v>
      </c>
      <c r="BD31" s="612" t="s">
        <v>450</v>
      </c>
      <c r="BE31" s="611" t="s">
        <v>451</v>
      </c>
      <c r="BF31" s="611" t="s">
        <v>452</v>
      </c>
      <c r="BG31" s="611" t="s">
        <v>453</v>
      </c>
      <c r="BH31" s="611" t="s">
        <v>454</v>
      </c>
      <c r="BI31" s="611" t="s">
        <v>455</v>
      </c>
      <c r="BJ31" s="611" t="s">
        <v>456</v>
      </c>
      <c r="BK31" s="611" t="s">
        <v>457</v>
      </c>
      <c r="BL31" s="611" t="s">
        <v>458</v>
      </c>
    </row>
    <row r="32" spans="1:64">
      <c r="B32" s="143" t="s">
        <v>463</v>
      </c>
      <c r="C32" s="143">
        <v>6</v>
      </c>
      <c r="D32" s="143">
        <v>2</v>
      </c>
      <c r="E32" s="143">
        <v>1.5</v>
      </c>
      <c r="F32" s="143">
        <v>4</v>
      </c>
      <c r="G32" s="143" t="s">
        <v>460</v>
      </c>
      <c r="H32" s="531">
        <v>68424</v>
      </c>
      <c r="I32" s="607">
        <v>21.93</v>
      </c>
      <c r="J32" s="608">
        <v>650</v>
      </c>
      <c r="K32" s="608">
        <v>1436</v>
      </c>
      <c r="L32" s="608">
        <v>436</v>
      </c>
      <c r="M32" s="608">
        <v>1203</v>
      </c>
      <c r="N32" s="608">
        <v>1175</v>
      </c>
      <c r="O32" s="608">
        <v>422</v>
      </c>
      <c r="P32" s="608">
        <v>380</v>
      </c>
      <c r="R32" s="143" t="s">
        <v>26</v>
      </c>
      <c r="S32" s="143">
        <v>2</v>
      </c>
      <c r="T32" s="143">
        <v>2</v>
      </c>
      <c r="U32" s="143">
        <v>2</v>
      </c>
      <c r="V32" s="143">
        <v>0</v>
      </c>
      <c r="W32" s="143" t="s">
        <v>461</v>
      </c>
      <c r="X32" s="531">
        <v>36288</v>
      </c>
      <c r="Y32" s="608">
        <v>8.7200000000000006</v>
      </c>
      <c r="Z32" s="608">
        <v>0</v>
      </c>
      <c r="AA32" s="608">
        <v>595</v>
      </c>
      <c r="AB32" s="608">
        <v>337</v>
      </c>
      <c r="AC32" s="608">
        <v>716</v>
      </c>
      <c r="AD32" s="608">
        <v>861</v>
      </c>
      <c r="AE32" s="608">
        <v>184</v>
      </c>
      <c r="AF32" s="608">
        <v>331</v>
      </c>
      <c r="AH32" s="598"/>
      <c r="AI32" s="598"/>
      <c r="AJ32" s="598"/>
      <c r="AK32" s="598"/>
      <c r="AL32" s="598"/>
      <c r="AM32" s="598"/>
      <c r="AN32" s="601"/>
      <c r="AO32" s="599"/>
      <c r="AP32" s="599"/>
      <c r="AQ32" s="599"/>
      <c r="AR32" s="599"/>
      <c r="AS32" s="599"/>
      <c r="AT32" s="599"/>
      <c r="AU32" s="599"/>
      <c r="AV32" s="599"/>
      <c r="AX32" s="598" t="s">
        <v>463</v>
      </c>
      <c r="AY32" s="598">
        <v>2</v>
      </c>
      <c r="AZ32" s="598">
        <v>1</v>
      </c>
      <c r="BA32" s="598">
        <v>1</v>
      </c>
      <c r="BB32" s="598">
        <v>1</v>
      </c>
      <c r="BC32" s="598" t="s">
        <v>460</v>
      </c>
      <c r="BD32" s="601">
        <v>55344</v>
      </c>
      <c r="BE32" s="599">
        <v>26.61</v>
      </c>
      <c r="BF32" s="599">
        <v>1008</v>
      </c>
      <c r="BG32" s="599">
        <v>493</v>
      </c>
      <c r="BH32" s="599">
        <v>278</v>
      </c>
      <c r="BI32" s="599">
        <v>980</v>
      </c>
      <c r="BJ32" s="599">
        <v>741</v>
      </c>
      <c r="BK32" s="599">
        <v>430</v>
      </c>
      <c r="BL32" s="599">
        <v>682</v>
      </c>
    </row>
    <row r="33" spans="2:64">
      <c r="B33" s="143" t="s">
        <v>463</v>
      </c>
      <c r="C33" s="143">
        <v>2</v>
      </c>
      <c r="D33" s="143">
        <v>2</v>
      </c>
      <c r="E33" s="143">
        <v>1.5</v>
      </c>
      <c r="F33" s="143">
        <v>0</v>
      </c>
      <c r="G33" s="143" t="s">
        <v>460</v>
      </c>
      <c r="H33" s="531">
        <v>35352</v>
      </c>
      <c r="I33" s="607">
        <v>11.33</v>
      </c>
      <c r="J33" s="608">
        <v>0</v>
      </c>
      <c r="K33" s="608">
        <v>604</v>
      </c>
      <c r="L33" s="608">
        <v>259</v>
      </c>
      <c r="M33" s="608">
        <v>685</v>
      </c>
      <c r="N33" s="608">
        <v>897</v>
      </c>
      <c r="O33" s="608">
        <v>206</v>
      </c>
      <c r="P33" s="608">
        <v>295</v>
      </c>
      <c r="R33" s="143" t="s">
        <v>26</v>
      </c>
      <c r="S33" s="143">
        <v>2</v>
      </c>
      <c r="T33" s="143">
        <v>2</v>
      </c>
      <c r="U33" s="143">
        <v>2</v>
      </c>
      <c r="V33" s="143">
        <v>0</v>
      </c>
      <c r="W33" s="143" t="s">
        <v>460</v>
      </c>
      <c r="X33" s="531">
        <v>35844</v>
      </c>
      <c r="Y33" s="607">
        <v>8.6199999999999903</v>
      </c>
      <c r="Z33" s="608">
        <v>0</v>
      </c>
      <c r="AA33" s="608">
        <v>620</v>
      </c>
      <c r="AB33" s="608">
        <v>279</v>
      </c>
      <c r="AC33" s="608">
        <v>716</v>
      </c>
      <c r="AD33" s="608">
        <v>861</v>
      </c>
      <c r="AE33" s="608">
        <v>187</v>
      </c>
      <c r="AF33" s="608">
        <v>324</v>
      </c>
      <c r="AH33" s="598"/>
      <c r="AI33" s="598"/>
      <c r="AJ33" s="598"/>
      <c r="AK33" s="598"/>
      <c r="AL33" s="598"/>
      <c r="AM33" s="598"/>
      <c r="AN33" s="601"/>
      <c r="AO33" s="599"/>
      <c r="AP33" s="599"/>
      <c r="AQ33" s="599"/>
      <c r="AR33" s="599"/>
      <c r="AS33" s="599"/>
      <c r="AT33" s="599"/>
      <c r="AU33" s="599"/>
      <c r="AV33" s="599"/>
      <c r="AX33" s="598" t="s">
        <v>463</v>
      </c>
      <c r="AY33" s="598">
        <v>3</v>
      </c>
      <c r="AZ33" s="598">
        <v>2</v>
      </c>
      <c r="BA33" s="598">
        <v>2</v>
      </c>
      <c r="BB33" s="598">
        <v>1</v>
      </c>
      <c r="BC33" s="598" t="s">
        <v>460</v>
      </c>
      <c r="BD33" s="601">
        <v>65748</v>
      </c>
      <c r="BE33" s="599">
        <v>15.8</v>
      </c>
      <c r="BF33" s="599">
        <v>1008</v>
      </c>
      <c r="BG33" s="599">
        <v>763</v>
      </c>
      <c r="BH33" s="599">
        <v>459</v>
      </c>
      <c r="BI33" s="599">
        <v>980</v>
      </c>
      <c r="BJ33" s="599">
        <v>869</v>
      </c>
      <c r="BK33" s="599">
        <v>510</v>
      </c>
      <c r="BL33" s="599">
        <v>890</v>
      </c>
    </row>
    <row r="34" spans="2:64">
      <c r="B34" s="143" t="s">
        <v>463</v>
      </c>
      <c r="C34" s="143">
        <v>4</v>
      </c>
      <c r="D34" s="143">
        <v>2</v>
      </c>
      <c r="E34" s="143">
        <v>1.5</v>
      </c>
      <c r="F34" s="143">
        <v>2</v>
      </c>
      <c r="G34" s="143" t="s">
        <v>460</v>
      </c>
      <c r="H34" s="531">
        <v>62664</v>
      </c>
      <c r="I34" s="607">
        <v>20.079999999999998</v>
      </c>
      <c r="J34" s="608">
        <v>650</v>
      </c>
      <c r="K34" s="608">
        <v>976</v>
      </c>
      <c r="L34" s="608">
        <v>417</v>
      </c>
      <c r="M34" s="608">
        <v>1203</v>
      </c>
      <c r="N34" s="608">
        <v>1114</v>
      </c>
      <c r="O34" s="608">
        <v>349</v>
      </c>
      <c r="P34" s="608">
        <v>513</v>
      </c>
      <c r="R34" s="143" t="s">
        <v>26</v>
      </c>
      <c r="S34" s="143">
        <v>1</v>
      </c>
      <c r="T34" s="143">
        <v>1</v>
      </c>
      <c r="U34" s="143">
        <v>1</v>
      </c>
      <c r="V34" s="143">
        <v>0</v>
      </c>
      <c r="W34" s="143" t="s">
        <v>461</v>
      </c>
      <c r="X34" s="531">
        <v>24420</v>
      </c>
      <c r="Y34" s="607">
        <v>11.74</v>
      </c>
      <c r="Z34" s="608">
        <v>0</v>
      </c>
      <c r="AA34" s="608">
        <v>342</v>
      </c>
      <c r="AB34" s="608">
        <v>156</v>
      </c>
      <c r="AC34" s="608">
        <v>700</v>
      </c>
      <c r="AD34" s="608">
        <v>461</v>
      </c>
      <c r="AE34" s="608">
        <v>146</v>
      </c>
      <c r="AF34" s="608">
        <v>230</v>
      </c>
      <c r="AH34" s="598"/>
      <c r="AI34" s="598"/>
      <c r="AJ34" s="598"/>
      <c r="AK34" s="598"/>
      <c r="AL34" s="598"/>
      <c r="AM34" s="598"/>
      <c r="AN34" s="601"/>
      <c r="AO34" s="599"/>
      <c r="AP34" s="599"/>
      <c r="AQ34" s="599"/>
      <c r="AR34" s="599"/>
      <c r="AS34" s="599"/>
      <c r="AT34" s="599"/>
      <c r="AU34" s="599"/>
      <c r="AV34" s="599"/>
      <c r="AX34" s="598" t="s">
        <v>463</v>
      </c>
      <c r="AY34" s="598">
        <v>2</v>
      </c>
      <c r="AZ34" s="598">
        <v>2</v>
      </c>
      <c r="BA34" s="598">
        <v>2</v>
      </c>
      <c r="BB34" s="598">
        <v>0</v>
      </c>
      <c r="BC34" s="598" t="s">
        <v>460</v>
      </c>
      <c r="BD34" s="601">
        <v>39408</v>
      </c>
      <c r="BE34" s="599">
        <v>9.4700000000000006</v>
      </c>
      <c r="BF34" s="599">
        <v>0</v>
      </c>
      <c r="BG34" s="599">
        <v>613</v>
      </c>
      <c r="BH34" s="599">
        <v>284</v>
      </c>
      <c r="BI34" s="599">
        <v>772</v>
      </c>
      <c r="BJ34" s="599">
        <v>741</v>
      </c>
      <c r="BK34" s="599">
        <v>405</v>
      </c>
      <c r="BL34" s="599">
        <v>469</v>
      </c>
    </row>
    <row r="35" spans="2:64">
      <c r="B35" s="143" t="s">
        <v>463</v>
      </c>
      <c r="C35" s="143">
        <v>5</v>
      </c>
      <c r="D35" s="143">
        <v>2</v>
      </c>
      <c r="E35" s="143">
        <v>2</v>
      </c>
      <c r="F35" s="143">
        <v>3</v>
      </c>
      <c r="G35" s="143" t="s">
        <v>460</v>
      </c>
      <c r="H35" s="531">
        <v>75504</v>
      </c>
      <c r="I35" s="607">
        <v>18.149999999999999</v>
      </c>
      <c r="J35" s="608">
        <v>1300</v>
      </c>
      <c r="K35" s="608">
        <v>1204</v>
      </c>
      <c r="L35" s="608">
        <v>427</v>
      </c>
      <c r="M35" s="608">
        <v>1203</v>
      </c>
      <c r="N35" s="608">
        <v>1144</v>
      </c>
      <c r="O35" s="608">
        <v>385</v>
      </c>
      <c r="P35" s="608">
        <v>629</v>
      </c>
      <c r="R35" s="143" t="s">
        <v>26</v>
      </c>
      <c r="S35" s="143">
        <v>2</v>
      </c>
      <c r="T35" s="143">
        <v>2</v>
      </c>
      <c r="U35" s="143">
        <v>1</v>
      </c>
      <c r="V35" s="143">
        <v>0</v>
      </c>
      <c r="W35" s="143" t="s">
        <v>460</v>
      </c>
      <c r="X35" s="531">
        <v>32604</v>
      </c>
      <c r="Y35" s="607">
        <v>15.68</v>
      </c>
      <c r="Z35" s="608">
        <v>0</v>
      </c>
      <c r="AA35" s="608">
        <v>620</v>
      </c>
      <c r="AB35" s="608">
        <v>279</v>
      </c>
      <c r="AC35" s="608">
        <v>716</v>
      </c>
      <c r="AD35" s="608">
        <v>650</v>
      </c>
      <c r="AE35" s="608">
        <v>187</v>
      </c>
      <c r="AF35" s="608">
        <v>265</v>
      </c>
      <c r="AH35" s="598"/>
      <c r="AI35" s="598"/>
      <c r="AJ35" s="598"/>
      <c r="AK35" s="598"/>
      <c r="AL35" s="598"/>
      <c r="AM35" s="598"/>
      <c r="AN35" s="601"/>
      <c r="AO35" s="599"/>
      <c r="AP35" s="599"/>
      <c r="AQ35" s="599"/>
      <c r="AR35" s="599"/>
      <c r="AS35" s="599"/>
      <c r="AT35" s="599"/>
      <c r="AU35" s="599"/>
      <c r="AV35" s="599"/>
      <c r="AX35" s="598" t="s">
        <v>463</v>
      </c>
      <c r="AY35" s="598">
        <v>4</v>
      </c>
      <c r="AZ35" s="598">
        <v>2</v>
      </c>
      <c r="BA35" s="598">
        <v>1</v>
      </c>
      <c r="BB35" s="598">
        <v>2</v>
      </c>
      <c r="BC35" s="598" t="s">
        <v>460</v>
      </c>
      <c r="BD35" s="601">
        <v>59364</v>
      </c>
      <c r="BE35" s="599">
        <v>28.54</v>
      </c>
      <c r="BF35" s="599">
        <v>0</v>
      </c>
      <c r="BG35" s="599">
        <v>995</v>
      </c>
      <c r="BH35" s="599">
        <v>467</v>
      </c>
      <c r="BI35" s="599">
        <v>1362</v>
      </c>
      <c r="BJ35" s="599">
        <v>927</v>
      </c>
      <c r="BK35" s="599">
        <v>689</v>
      </c>
      <c r="BL35" s="599">
        <v>507</v>
      </c>
    </row>
    <row r="36" spans="2:64">
      <c r="B36" s="143" t="s">
        <v>463</v>
      </c>
      <c r="C36" s="143">
        <v>6</v>
      </c>
      <c r="D36" s="143">
        <v>2</v>
      </c>
      <c r="E36" s="143">
        <v>2</v>
      </c>
      <c r="F36" s="143">
        <v>4</v>
      </c>
      <c r="G36" s="143" t="s">
        <v>460</v>
      </c>
      <c r="H36" s="531">
        <v>78444</v>
      </c>
      <c r="I36" s="607">
        <v>18.86</v>
      </c>
      <c r="J36" s="608">
        <v>1300</v>
      </c>
      <c r="K36" s="608">
        <v>1436</v>
      </c>
      <c r="L36" s="608">
        <v>436</v>
      </c>
      <c r="M36" s="608">
        <v>1203</v>
      </c>
      <c r="N36" s="608">
        <v>1175</v>
      </c>
      <c r="O36" s="608">
        <v>422</v>
      </c>
      <c r="P36" s="608">
        <v>565</v>
      </c>
      <c r="R36" s="143" t="s">
        <v>26</v>
      </c>
      <c r="S36" s="143">
        <v>2</v>
      </c>
      <c r="T36" s="143">
        <v>2</v>
      </c>
      <c r="U36" s="143">
        <v>1.5</v>
      </c>
      <c r="V36" s="143">
        <v>0</v>
      </c>
      <c r="W36" s="143" t="s">
        <v>461</v>
      </c>
      <c r="X36" s="531">
        <v>36288</v>
      </c>
      <c r="Y36" s="607">
        <v>11.63</v>
      </c>
      <c r="Z36" s="608">
        <v>0</v>
      </c>
      <c r="AA36" s="608">
        <v>595</v>
      </c>
      <c r="AB36" s="608">
        <v>337</v>
      </c>
      <c r="AC36" s="608">
        <v>716</v>
      </c>
      <c r="AD36" s="608">
        <v>861</v>
      </c>
      <c r="AE36" s="608">
        <v>184</v>
      </c>
      <c r="AF36" s="608">
        <v>331</v>
      </c>
      <c r="AH36" s="598"/>
      <c r="AI36" s="598"/>
      <c r="AJ36" s="598"/>
      <c r="AK36" s="598"/>
      <c r="AL36" s="598"/>
      <c r="AM36" s="598"/>
      <c r="AN36" s="601"/>
      <c r="AO36" s="599"/>
      <c r="AP36" s="599"/>
      <c r="AQ36" s="599"/>
      <c r="AR36" s="599"/>
      <c r="AS36" s="599"/>
      <c r="AT36" s="599"/>
      <c r="AU36" s="599"/>
      <c r="AV36" s="599"/>
      <c r="AX36" s="598" t="s">
        <v>463</v>
      </c>
      <c r="AY36" s="598">
        <v>2</v>
      </c>
      <c r="AZ36" s="598">
        <v>2</v>
      </c>
      <c r="BA36" s="598">
        <v>1.5</v>
      </c>
      <c r="BB36" s="598">
        <v>0</v>
      </c>
      <c r="BC36" s="598" t="s">
        <v>461</v>
      </c>
      <c r="BD36" s="601">
        <v>40176</v>
      </c>
      <c r="BE36" s="599">
        <v>12.88</v>
      </c>
      <c r="BF36" s="599">
        <v>0</v>
      </c>
      <c r="BG36" s="599">
        <v>588</v>
      </c>
      <c r="BH36" s="599">
        <v>365</v>
      </c>
      <c r="BI36" s="599">
        <v>772</v>
      </c>
      <c r="BJ36" s="599">
        <v>741</v>
      </c>
      <c r="BK36" s="599">
        <v>398</v>
      </c>
      <c r="BL36" s="599">
        <v>484</v>
      </c>
    </row>
    <row r="37" spans="2:64">
      <c r="B37" s="575" t="s">
        <v>463</v>
      </c>
      <c r="C37" s="575">
        <v>3</v>
      </c>
      <c r="D37" s="575">
        <v>2</v>
      </c>
      <c r="E37" s="575">
        <v>1.5</v>
      </c>
      <c r="F37" s="575">
        <v>1</v>
      </c>
      <c r="G37" s="575" t="s">
        <v>460</v>
      </c>
      <c r="H37" s="610">
        <v>50688</v>
      </c>
      <c r="I37" s="609">
        <v>16.25</v>
      </c>
      <c r="J37" s="531">
        <v>433</v>
      </c>
      <c r="K37" s="531">
        <v>750</v>
      </c>
      <c r="L37" s="531">
        <v>408</v>
      </c>
      <c r="M37" s="531">
        <v>867</v>
      </c>
      <c r="N37" s="531">
        <v>1083</v>
      </c>
      <c r="O37" s="531">
        <v>259</v>
      </c>
      <c r="P37" s="531">
        <v>424</v>
      </c>
      <c r="R37" s="143" t="s">
        <v>26</v>
      </c>
      <c r="S37" s="143">
        <v>1</v>
      </c>
      <c r="T37" s="143">
        <v>1</v>
      </c>
      <c r="U37" s="143">
        <v>1</v>
      </c>
      <c r="V37" s="143">
        <v>0</v>
      </c>
      <c r="W37" s="143" t="s">
        <v>460</v>
      </c>
      <c r="X37" s="531">
        <v>24360</v>
      </c>
      <c r="Y37" s="607">
        <v>11.71</v>
      </c>
      <c r="Z37" s="608">
        <v>0</v>
      </c>
      <c r="AA37" s="608">
        <v>365</v>
      </c>
      <c r="AB37" s="608">
        <v>126</v>
      </c>
      <c r="AC37" s="608">
        <v>700</v>
      </c>
      <c r="AD37" s="608">
        <v>461</v>
      </c>
      <c r="AE37" s="608">
        <v>149</v>
      </c>
      <c r="AF37" s="608">
        <v>229</v>
      </c>
      <c r="AH37" s="598"/>
      <c r="AI37" s="598"/>
      <c r="AJ37" s="598"/>
      <c r="AK37" s="598"/>
      <c r="AL37" s="598"/>
      <c r="AM37" s="598"/>
      <c r="AN37" s="601"/>
      <c r="AO37" s="599"/>
      <c r="AP37" s="599"/>
      <c r="AQ37" s="599"/>
      <c r="AR37" s="599"/>
      <c r="AS37" s="599"/>
      <c r="AT37" s="599"/>
      <c r="AU37" s="599"/>
      <c r="AV37" s="599"/>
      <c r="AX37" s="598" t="s">
        <v>463</v>
      </c>
      <c r="AY37" s="598">
        <v>2</v>
      </c>
      <c r="AZ37" s="598">
        <v>2</v>
      </c>
      <c r="BA37" s="598">
        <v>1</v>
      </c>
      <c r="BB37" s="598">
        <v>0</v>
      </c>
      <c r="BC37" s="598" t="s">
        <v>460</v>
      </c>
      <c r="BD37" s="601">
        <v>38436</v>
      </c>
      <c r="BE37" s="599">
        <v>18.48</v>
      </c>
      <c r="BF37" s="599">
        <v>0</v>
      </c>
      <c r="BG37" s="599">
        <v>613</v>
      </c>
      <c r="BH37" s="599">
        <v>284</v>
      </c>
      <c r="BI37" s="599">
        <v>772</v>
      </c>
      <c r="BJ37" s="599">
        <v>741</v>
      </c>
      <c r="BK37" s="599">
        <v>405</v>
      </c>
      <c r="BL37" s="599">
        <v>388</v>
      </c>
    </row>
    <row r="38" spans="2:64">
      <c r="B38" s="143" t="s">
        <v>463</v>
      </c>
      <c r="C38" s="143">
        <v>5</v>
      </c>
      <c r="D38" s="143">
        <v>2</v>
      </c>
      <c r="E38" s="143">
        <v>1.5</v>
      </c>
      <c r="F38" s="143">
        <v>3</v>
      </c>
      <c r="G38" s="143" t="s">
        <v>460</v>
      </c>
      <c r="H38" s="531">
        <v>65484</v>
      </c>
      <c r="I38" s="607">
        <v>20.99</v>
      </c>
      <c r="J38" s="608">
        <v>650</v>
      </c>
      <c r="K38" s="608">
        <v>1204</v>
      </c>
      <c r="L38" s="608">
        <v>427</v>
      </c>
      <c r="M38" s="608">
        <v>1203</v>
      </c>
      <c r="N38" s="608">
        <v>1144</v>
      </c>
      <c r="O38" s="608">
        <v>385</v>
      </c>
      <c r="P38" s="608">
        <v>444</v>
      </c>
      <c r="R38" s="143" t="s">
        <v>26</v>
      </c>
      <c r="S38" s="143">
        <v>2</v>
      </c>
      <c r="T38" s="143">
        <v>2</v>
      </c>
      <c r="U38" s="143">
        <v>1</v>
      </c>
      <c r="V38" s="143">
        <v>0</v>
      </c>
      <c r="W38" s="143" t="s">
        <v>461</v>
      </c>
      <c r="X38" s="531">
        <v>33084</v>
      </c>
      <c r="Y38" s="607">
        <v>15.91</v>
      </c>
      <c r="Z38" s="608">
        <v>0</v>
      </c>
      <c r="AA38" s="608">
        <v>595</v>
      </c>
      <c r="AB38" s="608">
        <v>337</v>
      </c>
      <c r="AC38" s="608">
        <v>716</v>
      </c>
      <c r="AD38" s="608">
        <v>650</v>
      </c>
      <c r="AE38" s="608">
        <v>184</v>
      </c>
      <c r="AF38" s="608">
        <v>275</v>
      </c>
      <c r="AH38" s="598"/>
      <c r="AI38" s="598"/>
      <c r="AJ38" s="598"/>
      <c r="AK38" s="598"/>
      <c r="AL38" s="598"/>
      <c r="AM38" s="598"/>
      <c r="AN38" s="601"/>
      <c r="AO38" s="599"/>
      <c r="AP38" s="599"/>
      <c r="AQ38" s="599"/>
      <c r="AR38" s="599"/>
      <c r="AS38" s="599"/>
      <c r="AT38" s="599"/>
      <c r="AU38" s="599"/>
      <c r="AV38" s="599"/>
      <c r="AX38" s="598" t="s">
        <v>463</v>
      </c>
      <c r="AY38" s="598">
        <v>4</v>
      </c>
      <c r="AZ38" s="598">
        <v>2</v>
      </c>
      <c r="BA38" s="598">
        <v>2</v>
      </c>
      <c r="BB38" s="598">
        <v>2</v>
      </c>
      <c r="BC38" s="598" t="s">
        <v>460</v>
      </c>
      <c r="BD38" s="601">
        <v>88296</v>
      </c>
      <c r="BE38" s="599">
        <v>21.23</v>
      </c>
      <c r="BF38" s="599">
        <v>1646</v>
      </c>
      <c r="BG38" s="599">
        <v>995</v>
      </c>
      <c r="BH38" s="599">
        <v>467</v>
      </c>
      <c r="BI38" s="599">
        <v>1362</v>
      </c>
      <c r="BJ38" s="599">
        <v>927</v>
      </c>
      <c r="BK38" s="599">
        <v>689</v>
      </c>
      <c r="BL38" s="599">
        <v>1272</v>
      </c>
    </row>
    <row r="39" spans="2:64">
      <c r="B39" s="143" t="s">
        <v>463</v>
      </c>
      <c r="C39" s="143">
        <v>3</v>
      </c>
      <c r="D39" s="143">
        <v>2</v>
      </c>
      <c r="E39" s="143">
        <v>2</v>
      </c>
      <c r="F39" s="143">
        <v>1</v>
      </c>
      <c r="G39" s="143" t="s">
        <v>460</v>
      </c>
      <c r="H39" s="531">
        <v>57468</v>
      </c>
      <c r="I39" s="607">
        <v>13.81</v>
      </c>
      <c r="J39" s="608">
        <v>866</v>
      </c>
      <c r="K39" s="608">
        <v>750</v>
      </c>
      <c r="L39" s="608">
        <v>408</v>
      </c>
      <c r="M39" s="608">
        <v>867</v>
      </c>
      <c r="N39" s="608">
        <v>1083</v>
      </c>
      <c r="O39" s="608">
        <v>259</v>
      </c>
      <c r="P39" s="608">
        <v>556</v>
      </c>
      <c r="R39" s="143" t="s">
        <v>26</v>
      </c>
      <c r="S39" s="143">
        <v>2</v>
      </c>
      <c r="T39" s="143">
        <v>2</v>
      </c>
      <c r="U39" s="143">
        <v>1.5</v>
      </c>
      <c r="V39" s="143">
        <v>0</v>
      </c>
      <c r="W39" s="143" t="s">
        <v>460</v>
      </c>
      <c r="X39" s="531">
        <v>35844</v>
      </c>
      <c r="Y39" s="607">
        <v>11.49</v>
      </c>
      <c r="Z39" s="608">
        <v>0</v>
      </c>
      <c r="AA39" s="608">
        <v>620</v>
      </c>
      <c r="AB39" s="608">
        <v>279</v>
      </c>
      <c r="AC39" s="608">
        <v>716</v>
      </c>
      <c r="AD39" s="608">
        <v>861</v>
      </c>
      <c r="AE39" s="608">
        <v>187</v>
      </c>
      <c r="AF39" s="608">
        <v>324</v>
      </c>
      <c r="AH39" s="598"/>
      <c r="AI39" s="598"/>
      <c r="AJ39" s="598"/>
      <c r="AK39" s="598"/>
      <c r="AL39" s="598"/>
      <c r="AM39" s="598"/>
      <c r="AN39" s="601"/>
      <c r="AO39" s="599"/>
      <c r="AP39" s="599"/>
      <c r="AQ39" s="599"/>
      <c r="AR39" s="599"/>
      <c r="AS39" s="599"/>
      <c r="AT39" s="599"/>
      <c r="AU39" s="599"/>
      <c r="AV39" s="599"/>
      <c r="AX39" s="600" t="s">
        <v>463</v>
      </c>
      <c r="AY39" s="600">
        <v>3</v>
      </c>
      <c r="AZ39" s="600">
        <v>2</v>
      </c>
      <c r="BA39" s="600">
        <v>1.5</v>
      </c>
      <c r="BB39" s="600">
        <v>1</v>
      </c>
      <c r="BC39" s="600" t="s">
        <v>460</v>
      </c>
      <c r="BD39" s="605">
        <v>57624</v>
      </c>
      <c r="BE39" s="601">
        <v>18.47</v>
      </c>
      <c r="BF39" s="601">
        <v>504</v>
      </c>
      <c r="BG39" s="601">
        <v>763</v>
      </c>
      <c r="BH39" s="601">
        <v>459</v>
      </c>
      <c r="BI39" s="601">
        <v>980</v>
      </c>
      <c r="BJ39" s="601">
        <v>869</v>
      </c>
      <c r="BK39" s="601">
        <v>510</v>
      </c>
      <c r="BL39" s="601">
        <v>717</v>
      </c>
    </row>
    <row r="40" spans="2:64">
      <c r="B40" s="143" t="s">
        <v>463</v>
      </c>
      <c r="C40" s="143">
        <v>2</v>
      </c>
      <c r="D40" s="143">
        <v>2</v>
      </c>
      <c r="E40" s="143">
        <v>2</v>
      </c>
      <c r="F40" s="143">
        <v>0</v>
      </c>
      <c r="G40" s="143" t="s">
        <v>460</v>
      </c>
      <c r="H40" s="531">
        <v>35352</v>
      </c>
      <c r="I40" s="607">
        <v>8.5</v>
      </c>
      <c r="J40" s="608">
        <v>0</v>
      </c>
      <c r="K40" s="608">
        <v>604</v>
      </c>
      <c r="L40" s="608">
        <v>259</v>
      </c>
      <c r="M40" s="608">
        <v>685</v>
      </c>
      <c r="N40" s="608">
        <v>897</v>
      </c>
      <c r="O40" s="608">
        <v>206</v>
      </c>
      <c r="P40" s="608">
        <v>295</v>
      </c>
      <c r="R40" s="143" t="s">
        <v>26</v>
      </c>
      <c r="S40" s="143">
        <v>3</v>
      </c>
      <c r="T40" s="143">
        <v>2</v>
      </c>
      <c r="U40" s="143">
        <v>1</v>
      </c>
      <c r="V40" s="143">
        <v>1</v>
      </c>
      <c r="W40" s="143" t="s">
        <v>460</v>
      </c>
      <c r="X40" s="531">
        <v>41520</v>
      </c>
      <c r="Y40" s="607">
        <v>19.96</v>
      </c>
      <c r="Z40" s="608">
        <v>0</v>
      </c>
      <c r="AA40" s="608">
        <v>772</v>
      </c>
      <c r="AB40" s="608">
        <v>405</v>
      </c>
      <c r="AC40" s="608">
        <v>907</v>
      </c>
      <c r="AD40" s="608">
        <v>784</v>
      </c>
      <c r="AE40" s="608">
        <v>235</v>
      </c>
      <c r="AF40" s="608">
        <v>357</v>
      </c>
      <c r="AH40" s="598"/>
      <c r="AI40" s="598"/>
      <c r="AJ40" s="598"/>
      <c r="AK40" s="598"/>
      <c r="AL40" s="598"/>
      <c r="AM40" s="598"/>
      <c r="AN40" s="601"/>
      <c r="AO40" s="599"/>
      <c r="AP40" s="599"/>
      <c r="AQ40" s="599"/>
      <c r="AR40" s="599"/>
      <c r="AS40" s="599"/>
      <c r="AT40" s="599"/>
      <c r="AU40" s="599"/>
      <c r="AV40" s="599"/>
      <c r="AX40" s="598" t="s">
        <v>463</v>
      </c>
      <c r="AY40" s="598">
        <v>1</v>
      </c>
      <c r="AZ40" s="598">
        <v>1</v>
      </c>
      <c r="BA40" s="598">
        <v>1</v>
      </c>
      <c r="BB40" s="598">
        <v>0</v>
      </c>
      <c r="BC40" s="598" t="s">
        <v>461</v>
      </c>
      <c r="BD40" s="601">
        <v>32028</v>
      </c>
      <c r="BE40" s="599">
        <v>15.4</v>
      </c>
      <c r="BF40" s="599">
        <v>0</v>
      </c>
      <c r="BG40" s="599">
        <v>321</v>
      </c>
      <c r="BH40" s="599">
        <v>176</v>
      </c>
      <c r="BI40" s="599">
        <v>754</v>
      </c>
      <c r="BJ40" s="599">
        <v>696</v>
      </c>
      <c r="BK40" s="599">
        <v>314</v>
      </c>
      <c r="BL40" s="599">
        <v>408</v>
      </c>
    </row>
    <row r="41" spans="2:64">
      <c r="B41" s="143" t="s">
        <v>463</v>
      </c>
      <c r="C41" s="143">
        <v>4</v>
      </c>
      <c r="D41" s="143">
        <v>2</v>
      </c>
      <c r="E41" s="143">
        <v>2</v>
      </c>
      <c r="F41" s="143">
        <v>2</v>
      </c>
      <c r="G41" s="143" t="s">
        <v>460</v>
      </c>
      <c r="H41" s="531">
        <v>72636</v>
      </c>
      <c r="I41" s="607">
        <v>17.46</v>
      </c>
      <c r="J41" s="608">
        <v>1300</v>
      </c>
      <c r="K41" s="608">
        <v>976</v>
      </c>
      <c r="L41" s="608">
        <v>417</v>
      </c>
      <c r="M41" s="608">
        <v>1203</v>
      </c>
      <c r="N41" s="608">
        <v>1114</v>
      </c>
      <c r="O41" s="608">
        <v>349</v>
      </c>
      <c r="P41" s="608">
        <v>694</v>
      </c>
      <c r="R41" s="143" t="s">
        <v>26</v>
      </c>
      <c r="S41" s="143">
        <v>3</v>
      </c>
      <c r="T41" s="143">
        <v>2</v>
      </c>
      <c r="U41" s="143">
        <v>2</v>
      </c>
      <c r="V41" s="143">
        <v>1</v>
      </c>
      <c r="W41" s="143" t="s">
        <v>460</v>
      </c>
      <c r="X41" s="531">
        <v>58080</v>
      </c>
      <c r="Y41" s="607">
        <v>13.96</v>
      </c>
      <c r="Z41" s="608">
        <v>887</v>
      </c>
      <c r="AA41" s="608">
        <v>772</v>
      </c>
      <c r="AB41" s="608">
        <v>405</v>
      </c>
      <c r="AC41" s="608">
        <v>907</v>
      </c>
      <c r="AD41" s="608">
        <v>1039</v>
      </c>
      <c r="AE41" s="608">
        <v>235</v>
      </c>
      <c r="AF41" s="608">
        <v>595</v>
      </c>
      <c r="AH41" s="598"/>
      <c r="AI41" s="598"/>
      <c r="AJ41" s="598"/>
      <c r="AK41" s="598"/>
      <c r="AL41" s="598"/>
      <c r="AM41" s="598"/>
      <c r="AN41" s="601"/>
      <c r="AO41" s="599"/>
      <c r="AP41" s="599"/>
      <c r="AQ41" s="599"/>
      <c r="AR41" s="599"/>
      <c r="AS41" s="599"/>
      <c r="AT41" s="599"/>
      <c r="AU41" s="599"/>
      <c r="AV41" s="599"/>
      <c r="AX41" s="598" t="s">
        <v>463</v>
      </c>
      <c r="AY41" s="598">
        <v>2</v>
      </c>
      <c r="AZ41" s="598">
        <v>2</v>
      </c>
      <c r="BA41" s="598">
        <v>2</v>
      </c>
      <c r="BB41" s="598">
        <v>0</v>
      </c>
      <c r="BC41" s="598" t="s">
        <v>461</v>
      </c>
      <c r="BD41" s="601">
        <v>40176</v>
      </c>
      <c r="BE41" s="599">
        <v>9.66</v>
      </c>
      <c r="BF41" s="599">
        <v>0</v>
      </c>
      <c r="BG41" s="599">
        <v>588</v>
      </c>
      <c r="BH41" s="599">
        <v>365</v>
      </c>
      <c r="BI41" s="599">
        <v>772</v>
      </c>
      <c r="BJ41" s="599">
        <v>741</v>
      </c>
      <c r="BK41" s="599">
        <v>398</v>
      </c>
      <c r="BL41" s="599">
        <v>484</v>
      </c>
    </row>
    <row r="42" spans="2:64">
      <c r="B42" s="143" t="s">
        <v>463</v>
      </c>
      <c r="C42" s="143">
        <v>2</v>
      </c>
      <c r="D42" s="143">
        <v>2</v>
      </c>
      <c r="E42" s="143">
        <v>2</v>
      </c>
      <c r="F42" s="143">
        <v>0</v>
      </c>
      <c r="G42" s="143" t="s">
        <v>461</v>
      </c>
      <c r="H42" s="531">
        <v>35820</v>
      </c>
      <c r="I42" s="607">
        <v>8.61</v>
      </c>
      <c r="J42" s="608">
        <v>0</v>
      </c>
      <c r="K42" s="608">
        <v>578</v>
      </c>
      <c r="L42" s="608">
        <v>320</v>
      </c>
      <c r="M42" s="608">
        <v>685</v>
      </c>
      <c r="N42" s="608">
        <v>897</v>
      </c>
      <c r="O42" s="608">
        <v>202</v>
      </c>
      <c r="P42" s="608">
        <v>303</v>
      </c>
      <c r="R42" s="575" t="s">
        <v>26</v>
      </c>
      <c r="S42" s="575">
        <v>3</v>
      </c>
      <c r="T42" s="575">
        <v>2</v>
      </c>
      <c r="U42" s="575">
        <v>1.5</v>
      </c>
      <c r="V42" s="575">
        <v>1</v>
      </c>
      <c r="W42" s="575" t="s">
        <v>460</v>
      </c>
      <c r="X42" s="610">
        <v>50988</v>
      </c>
      <c r="Y42" s="609">
        <v>16.34</v>
      </c>
      <c r="Z42" s="531">
        <v>443</v>
      </c>
      <c r="AA42" s="531">
        <v>772</v>
      </c>
      <c r="AB42" s="531">
        <v>405</v>
      </c>
      <c r="AC42" s="531">
        <v>907</v>
      </c>
      <c r="AD42" s="531">
        <v>1039</v>
      </c>
      <c r="AE42" s="531">
        <v>235</v>
      </c>
      <c r="AF42" s="531">
        <v>448</v>
      </c>
      <c r="AH42" s="598"/>
      <c r="AI42" s="598"/>
      <c r="AJ42" s="598"/>
      <c r="AK42" s="598"/>
      <c r="AL42" s="598"/>
      <c r="AM42" s="598"/>
      <c r="AN42" s="601"/>
      <c r="AO42" s="599"/>
      <c r="AP42" s="599"/>
      <c r="AQ42" s="599"/>
      <c r="AR42" s="599"/>
      <c r="AS42" s="599"/>
      <c r="AT42" s="599"/>
      <c r="AU42" s="599"/>
      <c r="AV42" s="599"/>
      <c r="AX42" s="598" t="s">
        <v>463</v>
      </c>
      <c r="AY42" s="598">
        <v>4</v>
      </c>
      <c r="AZ42" s="598">
        <v>2</v>
      </c>
      <c r="BA42" s="598">
        <v>1.5</v>
      </c>
      <c r="BB42" s="598">
        <v>2</v>
      </c>
      <c r="BC42" s="598" t="s">
        <v>460</v>
      </c>
      <c r="BD42" s="601">
        <v>74904</v>
      </c>
      <c r="BE42" s="599">
        <v>24.01</v>
      </c>
      <c r="BF42" s="599">
        <v>823</v>
      </c>
      <c r="BG42" s="599">
        <v>995</v>
      </c>
      <c r="BH42" s="599">
        <v>467</v>
      </c>
      <c r="BI42" s="599">
        <v>1362</v>
      </c>
      <c r="BJ42" s="599">
        <v>927</v>
      </c>
      <c r="BK42" s="599">
        <v>689</v>
      </c>
      <c r="BL42" s="599">
        <v>979</v>
      </c>
    </row>
    <row r="43" spans="2:64">
      <c r="B43" s="143" t="s">
        <v>463</v>
      </c>
      <c r="C43" s="143">
        <v>1</v>
      </c>
      <c r="D43" s="143">
        <v>1</v>
      </c>
      <c r="E43" s="143">
        <v>1</v>
      </c>
      <c r="F43" s="143">
        <v>0</v>
      </c>
      <c r="G43" s="143" t="s">
        <v>460</v>
      </c>
      <c r="H43" s="531">
        <v>24024</v>
      </c>
      <c r="I43" s="607">
        <v>11.55</v>
      </c>
      <c r="J43" s="608">
        <v>0</v>
      </c>
      <c r="K43" s="608">
        <v>355</v>
      </c>
      <c r="L43" s="608">
        <v>123</v>
      </c>
      <c r="M43" s="608">
        <v>670</v>
      </c>
      <c r="N43" s="608">
        <v>482</v>
      </c>
      <c r="O43" s="608">
        <v>164</v>
      </c>
      <c r="P43" s="608">
        <v>208</v>
      </c>
      <c r="R43" s="143" t="s">
        <v>26</v>
      </c>
      <c r="S43" s="143">
        <v>2</v>
      </c>
      <c r="T43" s="143">
        <v>1</v>
      </c>
      <c r="U43" s="143">
        <v>1</v>
      </c>
      <c r="V43" s="143">
        <v>1</v>
      </c>
      <c r="W43" s="143" t="s">
        <v>460</v>
      </c>
      <c r="X43" s="531">
        <v>44592</v>
      </c>
      <c r="Y43" s="607">
        <v>21.44</v>
      </c>
      <c r="Z43" s="608">
        <v>887</v>
      </c>
      <c r="AA43" s="608">
        <v>474</v>
      </c>
      <c r="AB43" s="608">
        <v>269</v>
      </c>
      <c r="AC43" s="608">
        <v>907</v>
      </c>
      <c r="AD43" s="608">
        <v>587</v>
      </c>
      <c r="AE43" s="608">
        <v>193</v>
      </c>
      <c r="AF43" s="608">
        <v>399</v>
      </c>
      <c r="AH43" s="598"/>
      <c r="AI43" s="598"/>
      <c r="AJ43" s="598"/>
      <c r="AK43" s="598"/>
      <c r="AL43" s="598"/>
      <c r="AM43" s="598"/>
      <c r="AN43" s="601"/>
      <c r="AO43" s="599"/>
      <c r="AP43" s="599"/>
      <c r="AQ43" s="599"/>
      <c r="AR43" s="599"/>
      <c r="AS43" s="599"/>
      <c r="AT43" s="599"/>
      <c r="AU43" s="599"/>
      <c r="AV43" s="599"/>
      <c r="AX43" s="598" t="s">
        <v>463</v>
      </c>
      <c r="AY43" s="598">
        <v>1</v>
      </c>
      <c r="AZ43" s="598">
        <v>1</v>
      </c>
      <c r="BA43" s="598">
        <v>1</v>
      </c>
      <c r="BB43" s="598">
        <v>0</v>
      </c>
      <c r="BC43" s="598" t="s">
        <v>460</v>
      </c>
      <c r="BD43" s="601">
        <v>31656</v>
      </c>
      <c r="BE43" s="599">
        <v>15.22</v>
      </c>
      <c r="BF43" s="599">
        <v>0</v>
      </c>
      <c r="BG43" s="599">
        <v>334</v>
      </c>
      <c r="BH43" s="599">
        <v>136</v>
      </c>
      <c r="BI43" s="599">
        <v>754</v>
      </c>
      <c r="BJ43" s="599">
        <v>696</v>
      </c>
      <c r="BK43" s="599">
        <v>318</v>
      </c>
      <c r="BL43" s="599">
        <v>400</v>
      </c>
    </row>
    <row r="44" spans="2:64">
      <c r="B44" s="143" t="s">
        <v>463</v>
      </c>
      <c r="C44" s="143">
        <v>5</v>
      </c>
      <c r="D44" s="143">
        <v>2</v>
      </c>
      <c r="E44" s="143">
        <v>1</v>
      </c>
      <c r="F44" s="143">
        <v>3</v>
      </c>
      <c r="G44" s="143" t="s">
        <v>460</v>
      </c>
      <c r="H44" s="531">
        <v>54360</v>
      </c>
      <c r="I44" s="607">
        <v>26.13</v>
      </c>
      <c r="J44" s="608">
        <v>0</v>
      </c>
      <c r="K44" s="608">
        <v>1204</v>
      </c>
      <c r="L44" s="608">
        <v>427</v>
      </c>
      <c r="M44" s="608">
        <v>1203</v>
      </c>
      <c r="N44" s="608">
        <v>985</v>
      </c>
      <c r="O44" s="608">
        <v>385</v>
      </c>
      <c r="P44" s="608">
        <v>326</v>
      </c>
      <c r="R44" s="143" t="s">
        <v>26</v>
      </c>
      <c r="S44" s="143">
        <v>3</v>
      </c>
      <c r="T44" s="143">
        <v>1</v>
      </c>
      <c r="U44" s="143">
        <v>1</v>
      </c>
      <c r="V44" s="143">
        <v>2</v>
      </c>
      <c r="W44" s="143" t="s">
        <v>460</v>
      </c>
      <c r="X44" s="531">
        <v>65976</v>
      </c>
      <c r="Y44" s="607">
        <v>31.719999999999899</v>
      </c>
      <c r="Z44" s="608">
        <v>1465</v>
      </c>
      <c r="AA44" s="608">
        <v>737</v>
      </c>
      <c r="AB44" s="608">
        <v>395</v>
      </c>
      <c r="AC44" s="608">
        <v>1260</v>
      </c>
      <c r="AD44" s="608">
        <v>644</v>
      </c>
      <c r="AE44" s="608">
        <v>280</v>
      </c>
      <c r="AF44" s="608">
        <v>717</v>
      </c>
      <c r="AH44" s="598"/>
      <c r="AI44" s="598"/>
      <c r="AJ44" s="598"/>
      <c r="AK44" s="598"/>
      <c r="AL44" s="598"/>
      <c r="AM44" s="598"/>
      <c r="AN44" s="601"/>
      <c r="AO44" s="599"/>
      <c r="AP44" s="599"/>
      <c r="AQ44" s="599"/>
      <c r="AR44" s="599"/>
      <c r="AS44" s="599"/>
      <c r="AT44" s="599"/>
      <c r="AU44" s="599"/>
      <c r="AV44" s="599"/>
      <c r="AX44" s="598" t="s">
        <v>463</v>
      </c>
      <c r="AY44" s="598">
        <v>5</v>
      </c>
      <c r="AZ44" s="598">
        <v>2</v>
      </c>
      <c r="BA44" s="598">
        <v>1</v>
      </c>
      <c r="BB44" s="598">
        <v>3</v>
      </c>
      <c r="BC44" s="598" t="s">
        <v>460</v>
      </c>
      <c r="BD44" s="601">
        <v>62892</v>
      </c>
      <c r="BE44" s="599">
        <v>30.24</v>
      </c>
      <c r="BF44" s="599">
        <v>0</v>
      </c>
      <c r="BG44" s="599">
        <v>1205</v>
      </c>
      <c r="BH44" s="599">
        <v>476</v>
      </c>
      <c r="BI44" s="599">
        <v>1362</v>
      </c>
      <c r="BJ44" s="599">
        <v>986</v>
      </c>
      <c r="BK44" s="599">
        <v>750</v>
      </c>
      <c r="BL44" s="599">
        <v>462</v>
      </c>
    </row>
    <row r="45" spans="2:64">
      <c r="B45" s="143" t="s">
        <v>463</v>
      </c>
      <c r="C45" s="143">
        <v>4</v>
      </c>
      <c r="D45" s="143">
        <v>2</v>
      </c>
      <c r="E45" s="143">
        <v>1</v>
      </c>
      <c r="F45" s="143">
        <v>2</v>
      </c>
      <c r="G45" s="143" t="s">
        <v>460</v>
      </c>
      <c r="H45" s="531">
        <v>50652</v>
      </c>
      <c r="I45" s="607">
        <v>24.35</v>
      </c>
      <c r="J45" s="608">
        <v>0</v>
      </c>
      <c r="K45" s="608">
        <v>976</v>
      </c>
      <c r="L45" s="608">
        <v>417</v>
      </c>
      <c r="M45" s="608">
        <v>1203</v>
      </c>
      <c r="N45" s="608">
        <v>901</v>
      </c>
      <c r="O45" s="608">
        <v>349</v>
      </c>
      <c r="P45" s="608">
        <v>375</v>
      </c>
      <c r="R45" s="143" t="s">
        <v>26</v>
      </c>
      <c r="S45" s="143">
        <v>4</v>
      </c>
      <c r="T45" s="143">
        <v>2</v>
      </c>
      <c r="U45" s="143">
        <v>1.5</v>
      </c>
      <c r="V45" s="143">
        <v>2</v>
      </c>
      <c r="W45" s="143" t="s">
        <v>460</v>
      </c>
      <c r="X45" s="531">
        <v>64548</v>
      </c>
      <c r="Y45" s="607">
        <v>20.69</v>
      </c>
      <c r="Z45" s="608">
        <v>733</v>
      </c>
      <c r="AA45" s="608">
        <v>1005</v>
      </c>
      <c r="AB45" s="608">
        <v>417</v>
      </c>
      <c r="AC45" s="608">
        <v>1260</v>
      </c>
      <c r="AD45" s="608">
        <v>1069</v>
      </c>
      <c r="AE45" s="608">
        <v>317</v>
      </c>
      <c r="AF45" s="608">
        <v>578</v>
      </c>
      <c r="AH45" s="598"/>
      <c r="AI45" s="598"/>
      <c r="AJ45" s="598"/>
      <c r="AK45" s="598"/>
      <c r="AL45" s="598"/>
      <c r="AM45" s="598"/>
      <c r="AN45" s="601"/>
      <c r="AO45" s="599"/>
      <c r="AP45" s="599"/>
      <c r="AQ45" s="599"/>
      <c r="AR45" s="599"/>
      <c r="AS45" s="599"/>
      <c r="AT45" s="599"/>
      <c r="AU45" s="599"/>
      <c r="AV45" s="599"/>
      <c r="AX45" s="598" t="s">
        <v>463</v>
      </c>
      <c r="AY45" s="598">
        <v>2</v>
      </c>
      <c r="AZ45" s="598">
        <v>2</v>
      </c>
      <c r="BA45" s="598">
        <v>1</v>
      </c>
      <c r="BB45" s="598">
        <v>0</v>
      </c>
      <c r="BC45" s="598" t="s">
        <v>461</v>
      </c>
      <c r="BD45" s="601">
        <v>39192</v>
      </c>
      <c r="BE45" s="599">
        <v>18.84</v>
      </c>
      <c r="BF45" s="599">
        <v>0</v>
      </c>
      <c r="BG45" s="599">
        <v>588</v>
      </c>
      <c r="BH45" s="599">
        <v>365</v>
      </c>
      <c r="BI45" s="599">
        <v>772</v>
      </c>
      <c r="BJ45" s="599">
        <v>741</v>
      </c>
      <c r="BK45" s="599">
        <v>398</v>
      </c>
      <c r="BL45" s="599">
        <v>402</v>
      </c>
    </row>
    <row r="46" spans="2:64">
      <c r="B46" s="143" t="s">
        <v>463</v>
      </c>
      <c r="C46" s="143">
        <v>2</v>
      </c>
      <c r="D46" s="143">
        <v>2</v>
      </c>
      <c r="E46" s="143">
        <v>1</v>
      </c>
      <c r="F46" s="143">
        <v>0</v>
      </c>
      <c r="G46" s="143" t="s">
        <v>461</v>
      </c>
      <c r="H46" s="531">
        <v>32496</v>
      </c>
      <c r="I46" s="607">
        <v>15.62</v>
      </c>
      <c r="J46" s="608">
        <v>0</v>
      </c>
      <c r="K46" s="608">
        <v>578</v>
      </c>
      <c r="L46" s="608">
        <v>320</v>
      </c>
      <c r="M46" s="608">
        <v>685</v>
      </c>
      <c r="N46" s="608">
        <v>678</v>
      </c>
      <c r="O46" s="608">
        <v>202</v>
      </c>
      <c r="P46" s="608">
        <v>245</v>
      </c>
      <c r="R46" s="143" t="s">
        <v>26</v>
      </c>
      <c r="S46" s="143">
        <v>4</v>
      </c>
      <c r="T46" s="143">
        <v>2</v>
      </c>
      <c r="U46" s="143">
        <v>1</v>
      </c>
      <c r="V46" s="143">
        <v>2</v>
      </c>
      <c r="W46" s="143" t="s">
        <v>460</v>
      </c>
      <c r="X46" s="531">
        <v>51276</v>
      </c>
      <c r="Y46" s="607">
        <v>24.649999999999899</v>
      </c>
      <c r="Z46" s="608">
        <v>0</v>
      </c>
      <c r="AA46" s="608">
        <v>1005</v>
      </c>
      <c r="AB46" s="608">
        <v>417</v>
      </c>
      <c r="AC46" s="608">
        <v>1260</v>
      </c>
      <c r="AD46" s="608">
        <v>865</v>
      </c>
      <c r="AE46" s="608">
        <v>317</v>
      </c>
      <c r="AF46" s="608">
        <v>409</v>
      </c>
      <c r="AH46" s="598"/>
      <c r="AI46" s="598"/>
      <c r="AJ46" s="598"/>
      <c r="AK46" s="598"/>
      <c r="AL46" s="598"/>
      <c r="AM46" s="598"/>
      <c r="AN46" s="601"/>
      <c r="AO46" s="599"/>
      <c r="AP46" s="599"/>
      <c r="AQ46" s="599"/>
      <c r="AR46" s="599"/>
      <c r="AS46" s="599"/>
      <c r="AT46" s="599"/>
      <c r="AU46" s="599"/>
      <c r="AV46" s="599"/>
      <c r="AX46" s="598" t="s">
        <v>463</v>
      </c>
      <c r="AY46" s="598">
        <v>5</v>
      </c>
      <c r="AZ46" s="598">
        <v>1</v>
      </c>
      <c r="BA46" s="598">
        <v>1</v>
      </c>
      <c r="BB46" s="598">
        <v>4</v>
      </c>
      <c r="BC46" s="598" t="s">
        <v>460</v>
      </c>
      <c r="BD46" s="601">
        <v>90684</v>
      </c>
      <c r="BE46" s="599">
        <v>43.6</v>
      </c>
      <c r="BF46" s="599">
        <v>1646</v>
      </c>
      <c r="BG46" s="599">
        <v>1203</v>
      </c>
      <c r="BH46" s="599">
        <v>469</v>
      </c>
      <c r="BI46" s="599">
        <v>1362</v>
      </c>
      <c r="BJ46" s="599">
        <v>986</v>
      </c>
      <c r="BK46" s="599">
        <v>750</v>
      </c>
      <c r="BL46" s="599">
        <v>1141</v>
      </c>
    </row>
    <row r="47" spans="2:64">
      <c r="B47" s="143" t="s">
        <v>463</v>
      </c>
      <c r="C47" s="143">
        <v>4</v>
      </c>
      <c r="D47" s="143">
        <v>1</v>
      </c>
      <c r="E47" s="143">
        <v>1</v>
      </c>
      <c r="F47" s="143">
        <v>3</v>
      </c>
      <c r="G47" s="143" t="s">
        <v>460</v>
      </c>
      <c r="H47" s="531">
        <v>66288</v>
      </c>
      <c r="I47" s="607">
        <v>31.87</v>
      </c>
      <c r="J47" s="608">
        <v>1300</v>
      </c>
      <c r="K47" s="608">
        <v>971</v>
      </c>
      <c r="L47" s="608">
        <v>407</v>
      </c>
      <c r="M47" s="608">
        <v>1203</v>
      </c>
      <c r="N47" s="608">
        <v>730</v>
      </c>
      <c r="O47" s="608">
        <v>348</v>
      </c>
      <c r="P47" s="608">
        <v>565</v>
      </c>
      <c r="R47" s="143" t="s">
        <v>26</v>
      </c>
      <c r="S47" s="143">
        <v>4</v>
      </c>
      <c r="T47" s="143">
        <v>2</v>
      </c>
      <c r="U47" s="143">
        <v>2</v>
      </c>
      <c r="V47" s="143">
        <v>2</v>
      </c>
      <c r="W47" s="143" t="s">
        <v>460</v>
      </c>
      <c r="X47" s="531">
        <v>76164</v>
      </c>
      <c r="Y47" s="607">
        <v>18.309999999999899</v>
      </c>
      <c r="Z47" s="608">
        <v>1465</v>
      </c>
      <c r="AA47" s="608">
        <v>1005</v>
      </c>
      <c r="AB47" s="608">
        <v>417</v>
      </c>
      <c r="AC47" s="608">
        <v>1260</v>
      </c>
      <c r="AD47" s="608">
        <v>1069</v>
      </c>
      <c r="AE47" s="608">
        <v>317</v>
      </c>
      <c r="AF47" s="608">
        <v>814</v>
      </c>
      <c r="AH47" s="598"/>
      <c r="AI47" s="598"/>
      <c r="AJ47" s="598"/>
      <c r="AK47" s="598"/>
      <c r="AL47" s="598"/>
      <c r="AM47" s="598"/>
      <c r="AN47" s="601"/>
      <c r="AO47" s="599"/>
      <c r="AP47" s="599"/>
      <c r="AQ47" s="599"/>
      <c r="AR47" s="599"/>
      <c r="AS47" s="599"/>
      <c r="AT47" s="599"/>
      <c r="AU47" s="599"/>
      <c r="AV47" s="599"/>
      <c r="AX47" s="598" t="s">
        <v>463</v>
      </c>
      <c r="AY47" s="598">
        <v>5</v>
      </c>
      <c r="AZ47" s="598">
        <v>2</v>
      </c>
      <c r="BA47" s="598">
        <v>1.5</v>
      </c>
      <c r="BB47" s="598">
        <v>3</v>
      </c>
      <c r="BC47" s="598" t="s">
        <v>460</v>
      </c>
      <c r="BD47" s="601">
        <v>78480</v>
      </c>
      <c r="BE47" s="599">
        <v>25.15</v>
      </c>
      <c r="BF47" s="599">
        <v>823</v>
      </c>
      <c r="BG47" s="599">
        <v>1205</v>
      </c>
      <c r="BH47" s="599">
        <v>476</v>
      </c>
      <c r="BI47" s="599">
        <v>1362</v>
      </c>
      <c r="BJ47" s="599">
        <v>986</v>
      </c>
      <c r="BK47" s="599">
        <v>750</v>
      </c>
      <c r="BL47" s="599">
        <v>938</v>
      </c>
    </row>
    <row r="48" spans="2:64">
      <c r="B48" s="143" t="s">
        <v>463</v>
      </c>
      <c r="C48" s="143">
        <v>3</v>
      </c>
      <c r="D48" s="143">
        <v>1</v>
      </c>
      <c r="E48" s="143">
        <v>1</v>
      </c>
      <c r="F48" s="143">
        <v>2</v>
      </c>
      <c r="G48" s="143" t="s">
        <v>460</v>
      </c>
      <c r="H48" s="531">
        <v>62472</v>
      </c>
      <c r="I48" s="607">
        <v>30.03</v>
      </c>
      <c r="J48" s="608">
        <v>1300</v>
      </c>
      <c r="K48" s="608">
        <v>714</v>
      </c>
      <c r="L48" s="608">
        <v>398</v>
      </c>
      <c r="M48" s="608">
        <v>1203</v>
      </c>
      <c r="N48" s="608">
        <v>672</v>
      </c>
      <c r="O48" s="608">
        <v>307</v>
      </c>
      <c r="P48" s="608">
        <v>612</v>
      </c>
      <c r="R48" s="143" t="s">
        <v>26</v>
      </c>
      <c r="S48" s="143">
        <v>5</v>
      </c>
      <c r="T48" s="143">
        <v>2</v>
      </c>
      <c r="U48" s="143">
        <v>1</v>
      </c>
      <c r="V48" s="143">
        <v>3</v>
      </c>
      <c r="W48" s="143" t="s">
        <v>460</v>
      </c>
      <c r="X48" s="531">
        <v>55080</v>
      </c>
      <c r="Y48" s="607">
        <v>26.48</v>
      </c>
      <c r="Z48" s="608">
        <v>0</v>
      </c>
      <c r="AA48" s="608">
        <v>1240</v>
      </c>
      <c r="AB48" s="608">
        <v>428</v>
      </c>
      <c r="AC48" s="608">
        <v>1260</v>
      </c>
      <c r="AD48" s="608">
        <v>945</v>
      </c>
      <c r="AE48" s="608">
        <v>350</v>
      </c>
      <c r="AF48" s="608">
        <v>367</v>
      </c>
      <c r="AH48" s="598"/>
      <c r="AI48" s="598"/>
      <c r="AJ48" s="598"/>
      <c r="AK48" s="598"/>
      <c r="AL48" s="598"/>
      <c r="AM48" s="598"/>
      <c r="AN48" s="601"/>
      <c r="AO48" s="599"/>
      <c r="AP48" s="599"/>
      <c r="AQ48" s="599"/>
      <c r="AR48" s="599"/>
      <c r="AS48" s="599"/>
      <c r="AT48" s="599"/>
      <c r="AU48" s="599"/>
      <c r="AV48" s="599"/>
      <c r="AX48" s="598" t="s">
        <v>463</v>
      </c>
      <c r="AY48" s="598">
        <v>4</v>
      </c>
      <c r="AZ48" s="598">
        <v>1</v>
      </c>
      <c r="BA48" s="598">
        <v>1</v>
      </c>
      <c r="BB48" s="598">
        <v>3</v>
      </c>
      <c r="BC48" s="598" t="s">
        <v>460</v>
      </c>
      <c r="BD48" s="601">
        <v>86940</v>
      </c>
      <c r="BE48" s="599">
        <v>41.8</v>
      </c>
      <c r="BF48" s="599">
        <v>1646</v>
      </c>
      <c r="BG48" s="599">
        <v>989</v>
      </c>
      <c r="BH48" s="599">
        <v>461</v>
      </c>
      <c r="BI48" s="599">
        <v>1362</v>
      </c>
      <c r="BJ48" s="599">
        <v>927</v>
      </c>
      <c r="BK48" s="599">
        <v>687</v>
      </c>
      <c r="BL48" s="599">
        <v>1173</v>
      </c>
    </row>
    <row r="49" spans="2:64">
      <c r="B49" s="143" t="s">
        <v>463</v>
      </c>
      <c r="C49" s="143">
        <v>2</v>
      </c>
      <c r="D49" s="143">
        <v>1</v>
      </c>
      <c r="E49" s="143">
        <v>1</v>
      </c>
      <c r="F49" s="143">
        <v>1</v>
      </c>
      <c r="G49" s="143" t="s">
        <v>460</v>
      </c>
      <c r="H49" s="531">
        <v>43440</v>
      </c>
      <c r="I49" s="607">
        <v>20.88</v>
      </c>
      <c r="J49" s="608">
        <v>866</v>
      </c>
      <c r="K49" s="608">
        <v>460</v>
      </c>
      <c r="L49" s="608">
        <v>248</v>
      </c>
      <c r="M49" s="608">
        <v>867</v>
      </c>
      <c r="N49" s="608">
        <v>613</v>
      </c>
      <c r="O49" s="608">
        <v>212</v>
      </c>
      <c r="P49" s="608">
        <v>354</v>
      </c>
      <c r="R49" s="143" t="s">
        <v>26</v>
      </c>
      <c r="S49" s="143">
        <v>5</v>
      </c>
      <c r="T49" s="143">
        <v>2</v>
      </c>
      <c r="U49" s="143">
        <v>2</v>
      </c>
      <c r="V49" s="143">
        <v>3</v>
      </c>
      <c r="W49" s="143" t="s">
        <v>460</v>
      </c>
      <c r="X49" s="531">
        <v>79116</v>
      </c>
      <c r="Y49" s="607">
        <v>19.02</v>
      </c>
      <c r="Z49" s="608">
        <v>1465</v>
      </c>
      <c r="AA49" s="608">
        <v>1240</v>
      </c>
      <c r="AB49" s="608">
        <v>428</v>
      </c>
      <c r="AC49" s="608">
        <v>1260</v>
      </c>
      <c r="AD49" s="608">
        <v>1098</v>
      </c>
      <c r="AE49" s="608">
        <v>350</v>
      </c>
      <c r="AF49" s="608">
        <v>752</v>
      </c>
      <c r="AH49" s="598"/>
      <c r="AI49" s="598"/>
      <c r="AJ49" s="598"/>
      <c r="AK49" s="598"/>
      <c r="AL49" s="598"/>
      <c r="AM49" s="598"/>
      <c r="AN49" s="601"/>
      <c r="AO49" s="599"/>
      <c r="AP49" s="599"/>
      <c r="AQ49" s="599"/>
      <c r="AR49" s="599"/>
      <c r="AS49" s="599"/>
      <c r="AT49" s="599"/>
      <c r="AU49" s="599"/>
      <c r="AV49" s="599"/>
      <c r="AX49" s="598" t="s">
        <v>463</v>
      </c>
      <c r="AY49" s="598">
        <v>5</v>
      </c>
      <c r="AZ49" s="598">
        <v>2</v>
      </c>
      <c r="BA49" s="598">
        <v>2</v>
      </c>
      <c r="BB49" s="598">
        <v>3</v>
      </c>
      <c r="BC49" s="598" t="s">
        <v>460</v>
      </c>
      <c r="BD49" s="601">
        <v>92016</v>
      </c>
      <c r="BE49" s="599">
        <v>22.12</v>
      </c>
      <c r="BF49" s="599">
        <v>1646</v>
      </c>
      <c r="BG49" s="599">
        <v>1205</v>
      </c>
      <c r="BH49" s="599">
        <v>476</v>
      </c>
      <c r="BI49" s="599">
        <v>1362</v>
      </c>
      <c r="BJ49" s="599">
        <v>986</v>
      </c>
      <c r="BK49" s="599">
        <v>750</v>
      </c>
      <c r="BL49" s="599">
        <v>1243</v>
      </c>
    </row>
    <row r="50" spans="2:64">
      <c r="B50" s="143" t="s">
        <v>463</v>
      </c>
      <c r="C50" s="143">
        <v>5</v>
      </c>
      <c r="D50" s="143">
        <v>1</v>
      </c>
      <c r="E50" s="143">
        <v>1</v>
      </c>
      <c r="F50" s="143">
        <v>4</v>
      </c>
      <c r="G50" s="143" t="s">
        <v>460</v>
      </c>
      <c r="H50" s="531">
        <v>68736</v>
      </c>
      <c r="I50" s="607">
        <v>33.049999999999997</v>
      </c>
      <c r="J50" s="608">
        <v>1300</v>
      </c>
      <c r="K50" s="608">
        <v>1154</v>
      </c>
      <c r="L50" s="608">
        <v>417</v>
      </c>
      <c r="M50" s="608">
        <v>1203</v>
      </c>
      <c r="N50" s="608">
        <v>789</v>
      </c>
      <c r="O50" s="608">
        <v>377</v>
      </c>
      <c r="P50" s="608">
        <v>488</v>
      </c>
      <c r="R50" s="143" t="s">
        <v>26</v>
      </c>
      <c r="S50" s="143">
        <v>4</v>
      </c>
      <c r="T50" s="143">
        <v>1</v>
      </c>
      <c r="U50" s="143">
        <v>1</v>
      </c>
      <c r="V50" s="143">
        <v>3</v>
      </c>
      <c r="W50" s="143" t="s">
        <v>460</v>
      </c>
      <c r="X50" s="531">
        <v>69876</v>
      </c>
      <c r="Y50" s="607">
        <v>33.590000000000003</v>
      </c>
      <c r="Z50" s="608">
        <v>1465</v>
      </c>
      <c r="AA50" s="608">
        <v>1002</v>
      </c>
      <c r="AB50" s="608">
        <v>407</v>
      </c>
      <c r="AC50" s="608">
        <v>1260</v>
      </c>
      <c r="AD50" s="608">
        <v>700</v>
      </c>
      <c r="AE50" s="608">
        <v>317</v>
      </c>
      <c r="AF50" s="608">
        <v>672</v>
      </c>
      <c r="AH50" s="598"/>
      <c r="AI50" s="598"/>
      <c r="AJ50" s="598"/>
      <c r="AK50" s="598"/>
      <c r="AL50" s="598"/>
      <c r="AM50" s="598"/>
      <c r="AN50" s="601"/>
      <c r="AO50" s="599"/>
      <c r="AP50" s="599"/>
      <c r="AQ50" s="599"/>
      <c r="AR50" s="599"/>
      <c r="AS50" s="599"/>
      <c r="AT50" s="599"/>
      <c r="AU50" s="599"/>
      <c r="AV50" s="599"/>
      <c r="AX50" s="598" t="s">
        <v>463</v>
      </c>
      <c r="AY50" s="598">
        <v>3</v>
      </c>
      <c r="AZ50" s="598">
        <v>1</v>
      </c>
      <c r="BA50" s="598">
        <v>1</v>
      </c>
      <c r="BB50" s="598">
        <v>2</v>
      </c>
      <c r="BC50" s="598" t="s">
        <v>460</v>
      </c>
      <c r="BD50" s="601">
        <v>82740</v>
      </c>
      <c r="BE50" s="599">
        <v>39.78</v>
      </c>
      <c r="BF50" s="599">
        <v>1646</v>
      </c>
      <c r="BG50" s="599">
        <v>752</v>
      </c>
      <c r="BH50" s="599">
        <v>452</v>
      </c>
      <c r="BI50" s="599">
        <v>1362</v>
      </c>
      <c r="BJ50" s="599">
        <v>869</v>
      </c>
      <c r="BK50" s="599">
        <v>618</v>
      </c>
      <c r="BL50" s="599">
        <v>1196</v>
      </c>
    </row>
    <row r="51" spans="2:64">
      <c r="B51" s="143" t="s">
        <v>463</v>
      </c>
      <c r="C51" s="143">
        <v>1</v>
      </c>
      <c r="D51" s="143">
        <v>1</v>
      </c>
      <c r="E51" s="143">
        <v>1</v>
      </c>
      <c r="F51" s="143">
        <v>0</v>
      </c>
      <c r="G51" s="143" t="s">
        <v>461</v>
      </c>
      <c r="H51" s="531">
        <v>24096</v>
      </c>
      <c r="I51" s="607">
        <v>11.58</v>
      </c>
      <c r="J51" s="608">
        <v>0</v>
      </c>
      <c r="K51" s="608">
        <v>332</v>
      </c>
      <c r="L51" s="608">
        <v>155</v>
      </c>
      <c r="M51" s="608">
        <v>670</v>
      </c>
      <c r="N51" s="608">
        <v>482</v>
      </c>
      <c r="O51" s="608">
        <v>160</v>
      </c>
      <c r="P51" s="608">
        <v>209</v>
      </c>
      <c r="R51" s="143" t="s">
        <v>26</v>
      </c>
      <c r="S51" s="143">
        <v>5</v>
      </c>
      <c r="T51" s="143">
        <v>2</v>
      </c>
      <c r="U51" s="143">
        <v>1.5</v>
      </c>
      <c r="V51" s="143">
        <v>3</v>
      </c>
      <c r="W51" s="143" t="s">
        <v>460</v>
      </c>
      <c r="X51" s="531">
        <v>67476</v>
      </c>
      <c r="Y51" s="607">
        <v>21.6299999999999</v>
      </c>
      <c r="Z51" s="608">
        <v>733</v>
      </c>
      <c r="AA51" s="608">
        <v>1240</v>
      </c>
      <c r="AB51" s="608">
        <v>428</v>
      </c>
      <c r="AC51" s="608">
        <v>1260</v>
      </c>
      <c r="AD51" s="608">
        <v>1098</v>
      </c>
      <c r="AE51" s="608">
        <v>350</v>
      </c>
      <c r="AF51" s="608">
        <v>514</v>
      </c>
      <c r="AH51" s="598"/>
      <c r="AI51" s="598"/>
      <c r="AJ51" s="598"/>
      <c r="AK51" s="598"/>
      <c r="AL51" s="598"/>
      <c r="AM51" s="598"/>
      <c r="AN51" s="601"/>
      <c r="AO51" s="599"/>
      <c r="AP51" s="599"/>
      <c r="AQ51" s="599"/>
      <c r="AR51" s="599"/>
      <c r="AS51" s="599"/>
      <c r="AT51" s="599"/>
      <c r="AU51" s="599"/>
      <c r="AV51" s="599"/>
      <c r="AX51" s="598" t="s">
        <v>463</v>
      </c>
      <c r="AY51" s="598">
        <v>3</v>
      </c>
      <c r="AZ51" s="598">
        <v>2</v>
      </c>
      <c r="BA51" s="598">
        <v>1</v>
      </c>
      <c r="BB51" s="598">
        <v>1</v>
      </c>
      <c r="BC51" s="598" t="s">
        <v>460</v>
      </c>
      <c r="BD51" s="601">
        <v>47940</v>
      </c>
      <c r="BE51" s="599">
        <v>23.05</v>
      </c>
      <c r="BF51" s="599">
        <v>0</v>
      </c>
      <c r="BG51" s="599">
        <v>763</v>
      </c>
      <c r="BH51" s="599">
        <v>459</v>
      </c>
      <c r="BI51" s="599">
        <v>980</v>
      </c>
      <c r="BJ51" s="599">
        <v>869</v>
      </c>
      <c r="BK51" s="599">
        <v>510</v>
      </c>
      <c r="BL51" s="599">
        <v>414</v>
      </c>
    </row>
    <row r="52" spans="2:64">
      <c r="B52" s="143" t="s">
        <v>463</v>
      </c>
      <c r="C52" s="143">
        <v>6</v>
      </c>
      <c r="D52" s="143">
        <v>2</v>
      </c>
      <c r="E52" s="143">
        <v>1</v>
      </c>
      <c r="F52" s="143">
        <v>4</v>
      </c>
      <c r="G52" s="143" t="s">
        <v>460</v>
      </c>
      <c r="H52" s="531">
        <v>58200</v>
      </c>
      <c r="I52" s="607">
        <v>27.98</v>
      </c>
      <c r="J52" s="608">
        <v>0</v>
      </c>
      <c r="K52" s="608">
        <v>1436</v>
      </c>
      <c r="L52" s="608">
        <v>436</v>
      </c>
      <c r="M52" s="608">
        <v>1203</v>
      </c>
      <c r="N52" s="608">
        <v>1069</v>
      </c>
      <c r="O52" s="608">
        <v>422</v>
      </c>
      <c r="P52" s="608">
        <v>284</v>
      </c>
      <c r="R52" s="143" t="s">
        <v>26</v>
      </c>
      <c r="S52" s="143">
        <v>6</v>
      </c>
      <c r="T52" s="143">
        <v>2</v>
      </c>
      <c r="U52" s="143">
        <v>2</v>
      </c>
      <c r="V52" s="143">
        <v>4</v>
      </c>
      <c r="W52" s="143" t="s">
        <v>460</v>
      </c>
      <c r="X52" s="531">
        <v>82128</v>
      </c>
      <c r="Y52" s="607">
        <v>19.739999999999899</v>
      </c>
      <c r="Z52" s="608">
        <v>1465</v>
      </c>
      <c r="AA52" s="608">
        <v>1479</v>
      </c>
      <c r="AB52" s="608">
        <v>438</v>
      </c>
      <c r="AC52" s="608">
        <v>1260</v>
      </c>
      <c r="AD52" s="608">
        <v>1128</v>
      </c>
      <c r="AE52" s="608">
        <v>384</v>
      </c>
      <c r="AF52" s="608">
        <v>690</v>
      </c>
      <c r="AH52" s="598"/>
      <c r="AI52" s="598"/>
      <c r="AJ52" s="598"/>
      <c r="AK52" s="598"/>
      <c r="AL52" s="598"/>
      <c r="AM52" s="598"/>
      <c r="AN52" s="601"/>
      <c r="AO52" s="599"/>
      <c r="AP52" s="599"/>
      <c r="AQ52" s="599"/>
      <c r="AR52" s="599"/>
      <c r="AS52" s="599"/>
      <c r="AT52" s="599"/>
      <c r="AU52" s="599"/>
      <c r="AV52" s="599"/>
      <c r="AX52" s="598" t="s">
        <v>463</v>
      </c>
      <c r="AY52" s="598">
        <v>2</v>
      </c>
      <c r="AZ52" s="598">
        <v>2</v>
      </c>
      <c r="BA52" s="598">
        <v>1.5</v>
      </c>
      <c r="BB52" s="598">
        <v>0</v>
      </c>
      <c r="BC52" s="598" t="s">
        <v>460</v>
      </c>
      <c r="BD52" s="601">
        <v>39408</v>
      </c>
      <c r="BE52" s="599">
        <v>12.63</v>
      </c>
      <c r="BF52" s="599">
        <v>0</v>
      </c>
      <c r="BG52" s="599">
        <v>613</v>
      </c>
      <c r="BH52" s="599">
        <v>284</v>
      </c>
      <c r="BI52" s="599">
        <v>772</v>
      </c>
      <c r="BJ52" s="599">
        <v>741</v>
      </c>
      <c r="BK52" s="599">
        <v>405</v>
      </c>
      <c r="BL52" s="599">
        <v>469</v>
      </c>
    </row>
    <row r="53" spans="2:64">
      <c r="B53" s="143" t="s">
        <v>463</v>
      </c>
      <c r="C53" s="143">
        <v>3</v>
      </c>
      <c r="D53" s="143">
        <v>2</v>
      </c>
      <c r="E53" s="143">
        <v>1</v>
      </c>
      <c r="F53" s="143">
        <v>1</v>
      </c>
      <c r="G53" s="143" t="s">
        <v>460</v>
      </c>
      <c r="H53" s="531">
        <v>41244</v>
      </c>
      <c r="I53" s="607">
        <v>19.829999999999998</v>
      </c>
      <c r="J53" s="608">
        <v>0</v>
      </c>
      <c r="K53" s="608">
        <v>750</v>
      </c>
      <c r="L53" s="608">
        <v>408</v>
      </c>
      <c r="M53" s="608">
        <v>867</v>
      </c>
      <c r="N53" s="608">
        <v>818</v>
      </c>
      <c r="O53" s="608">
        <v>259</v>
      </c>
      <c r="P53" s="608">
        <v>335</v>
      </c>
      <c r="R53" s="143" t="s">
        <v>26</v>
      </c>
      <c r="S53" s="143">
        <v>6</v>
      </c>
      <c r="T53" s="143">
        <v>2</v>
      </c>
      <c r="U53" s="143">
        <v>1.5</v>
      </c>
      <c r="V53" s="143">
        <v>4</v>
      </c>
      <c r="W53" s="143" t="s">
        <v>460</v>
      </c>
      <c r="X53" s="531">
        <v>70488</v>
      </c>
      <c r="Y53" s="607">
        <v>22.59</v>
      </c>
      <c r="Z53" s="608">
        <v>733</v>
      </c>
      <c r="AA53" s="608">
        <v>1479</v>
      </c>
      <c r="AB53" s="608">
        <v>438</v>
      </c>
      <c r="AC53" s="608">
        <v>1260</v>
      </c>
      <c r="AD53" s="608">
        <v>1128</v>
      </c>
      <c r="AE53" s="608">
        <v>384</v>
      </c>
      <c r="AF53" s="608">
        <v>452</v>
      </c>
      <c r="AH53" s="598"/>
      <c r="AI53" s="598"/>
      <c r="AJ53" s="598"/>
      <c r="AK53" s="598"/>
      <c r="AL53" s="598"/>
      <c r="AM53" s="598"/>
      <c r="AN53" s="601"/>
      <c r="AO53" s="599"/>
      <c r="AP53" s="599"/>
      <c r="AQ53" s="599"/>
      <c r="AR53" s="599"/>
      <c r="AS53" s="599"/>
      <c r="AT53" s="599"/>
      <c r="AU53" s="599"/>
      <c r="AV53" s="599"/>
      <c r="AX53" s="598" t="s">
        <v>463</v>
      </c>
      <c r="AY53" s="598">
        <v>6</v>
      </c>
      <c r="AZ53" s="598">
        <v>2</v>
      </c>
      <c r="BA53" s="598">
        <v>1</v>
      </c>
      <c r="BB53" s="598">
        <v>4</v>
      </c>
      <c r="BC53" s="598" t="s">
        <v>460</v>
      </c>
      <c r="BD53" s="601">
        <v>67320</v>
      </c>
      <c r="BE53" s="599">
        <v>32.369999999999997</v>
      </c>
      <c r="BF53" s="599">
        <v>0</v>
      </c>
      <c r="BG53" s="599">
        <v>1468</v>
      </c>
      <c r="BH53" s="599">
        <v>485</v>
      </c>
      <c r="BI53" s="599">
        <v>1362</v>
      </c>
      <c r="BJ53" s="599">
        <v>1024</v>
      </c>
      <c r="BK53" s="599">
        <v>827</v>
      </c>
      <c r="BL53" s="599">
        <v>444</v>
      </c>
    </row>
    <row r="54" spans="2:64">
      <c r="B54" s="143" t="s">
        <v>463</v>
      </c>
      <c r="C54" s="143">
        <v>2</v>
      </c>
      <c r="D54" s="143">
        <v>2</v>
      </c>
      <c r="E54" s="143">
        <v>1</v>
      </c>
      <c r="F54" s="143">
        <v>0</v>
      </c>
      <c r="G54" s="143" t="s">
        <v>460</v>
      </c>
      <c r="H54" s="531">
        <v>32028</v>
      </c>
      <c r="I54" s="607">
        <v>15.4</v>
      </c>
      <c r="J54" s="608">
        <v>0</v>
      </c>
      <c r="K54" s="608">
        <v>604</v>
      </c>
      <c r="L54" s="608">
        <v>259</v>
      </c>
      <c r="M54" s="608">
        <v>685</v>
      </c>
      <c r="N54" s="608">
        <v>678</v>
      </c>
      <c r="O54" s="608">
        <v>206</v>
      </c>
      <c r="P54" s="608">
        <v>237</v>
      </c>
      <c r="R54" s="143" t="s">
        <v>26</v>
      </c>
      <c r="S54" s="143">
        <v>5</v>
      </c>
      <c r="T54" s="143">
        <v>1</v>
      </c>
      <c r="U54" s="143">
        <v>1</v>
      </c>
      <c r="V54" s="143">
        <v>4</v>
      </c>
      <c r="W54" s="143" t="s">
        <v>460</v>
      </c>
      <c r="X54" s="531">
        <v>72348</v>
      </c>
      <c r="Y54" s="607">
        <v>34.78</v>
      </c>
      <c r="Z54" s="608">
        <v>1465</v>
      </c>
      <c r="AA54" s="608">
        <v>1190</v>
      </c>
      <c r="AB54" s="608">
        <v>418</v>
      </c>
      <c r="AC54" s="608">
        <v>1260</v>
      </c>
      <c r="AD54" s="608">
        <v>757</v>
      </c>
      <c r="AE54" s="608">
        <v>343</v>
      </c>
      <c r="AF54" s="608">
        <v>596</v>
      </c>
      <c r="AH54" s="598"/>
      <c r="AI54" s="598"/>
      <c r="AJ54" s="598"/>
      <c r="AK54" s="598"/>
      <c r="AL54" s="598"/>
      <c r="AM54" s="598"/>
      <c r="AN54" s="601"/>
      <c r="AO54" s="599"/>
      <c r="AP54" s="599"/>
      <c r="AQ54" s="599"/>
      <c r="AR54" s="599"/>
      <c r="AS54" s="599"/>
      <c r="AT54" s="599"/>
      <c r="AU54" s="599"/>
      <c r="AV54" s="599"/>
      <c r="AX54" s="598" t="s">
        <v>463</v>
      </c>
      <c r="AY54" s="598">
        <v>6</v>
      </c>
      <c r="AZ54" s="598">
        <v>2</v>
      </c>
      <c r="BA54" s="598">
        <v>1.5</v>
      </c>
      <c r="BB54" s="598">
        <v>4</v>
      </c>
      <c r="BC54" s="598" t="s">
        <v>460</v>
      </c>
      <c r="BD54" s="601">
        <v>82836</v>
      </c>
      <c r="BE54" s="599">
        <v>26.55</v>
      </c>
      <c r="BF54" s="599">
        <v>823</v>
      </c>
      <c r="BG54" s="599">
        <v>1468</v>
      </c>
      <c r="BH54" s="599">
        <v>485</v>
      </c>
      <c r="BI54" s="599">
        <v>1362</v>
      </c>
      <c r="BJ54" s="599">
        <v>1024</v>
      </c>
      <c r="BK54" s="599">
        <v>827</v>
      </c>
      <c r="BL54" s="599">
        <v>914</v>
      </c>
    </row>
    <row r="55" spans="2:64">
      <c r="B55" s="143" t="s">
        <v>463</v>
      </c>
      <c r="C55" s="143">
        <v>2</v>
      </c>
      <c r="D55" s="143">
        <v>2</v>
      </c>
      <c r="E55" s="143">
        <v>1.5</v>
      </c>
      <c r="F55" s="143">
        <v>0</v>
      </c>
      <c r="G55" s="143" t="s">
        <v>461</v>
      </c>
      <c r="H55" s="531">
        <v>35820</v>
      </c>
      <c r="I55" s="607">
        <v>11.48</v>
      </c>
      <c r="J55" s="608">
        <v>0</v>
      </c>
      <c r="K55" s="608">
        <v>578</v>
      </c>
      <c r="L55" s="608">
        <v>320</v>
      </c>
      <c r="M55" s="608">
        <v>685</v>
      </c>
      <c r="N55" s="608">
        <v>897</v>
      </c>
      <c r="O55" s="608">
        <v>202</v>
      </c>
      <c r="P55" s="608">
        <v>303</v>
      </c>
      <c r="R55" s="143" t="s">
        <v>26</v>
      </c>
      <c r="S55" s="143">
        <v>6</v>
      </c>
      <c r="T55" s="143">
        <v>2</v>
      </c>
      <c r="U55" s="143">
        <v>1</v>
      </c>
      <c r="V55" s="143">
        <v>4</v>
      </c>
      <c r="W55" s="143" t="s">
        <v>460</v>
      </c>
      <c r="X55" s="531">
        <v>58944</v>
      </c>
      <c r="Y55" s="607">
        <v>28.34</v>
      </c>
      <c r="Z55" s="608">
        <v>0</v>
      </c>
      <c r="AA55" s="608">
        <v>1479</v>
      </c>
      <c r="AB55" s="608">
        <v>438</v>
      </c>
      <c r="AC55" s="608">
        <v>1260</v>
      </c>
      <c r="AD55" s="608">
        <v>1026</v>
      </c>
      <c r="AE55" s="608">
        <v>384</v>
      </c>
      <c r="AF55" s="608">
        <v>325</v>
      </c>
      <c r="AH55" s="598"/>
      <c r="AI55" s="598"/>
      <c r="AJ55" s="598"/>
      <c r="AK55" s="598"/>
      <c r="AL55" s="598"/>
      <c r="AM55" s="598"/>
      <c r="AN55" s="601"/>
      <c r="AO55" s="599"/>
      <c r="AP55" s="599"/>
      <c r="AQ55" s="599"/>
      <c r="AR55" s="599"/>
      <c r="AS55" s="599"/>
      <c r="AT55" s="599"/>
      <c r="AU55" s="599"/>
      <c r="AV55" s="599"/>
      <c r="AX55" s="598" t="s">
        <v>463</v>
      </c>
      <c r="AY55" s="598">
        <v>6</v>
      </c>
      <c r="AZ55" s="598">
        <v>2</v>
      </c>
      <c r="BA55" s="598">
        <v>2</v>
      </c>
      <c r="BB55" s="598">
        <v>4</v>
      </c>
      <c r="BC55" s="598" t="s">
        <v>460</v>
      </c>
      <c r="BD55" s="601">
        <v>96564</v>
      </c>
      <c r="BE55" s="599">
        <v>23.21</v>
      </c>
      <c r="BF55" s="599">
        <v>1646</v>
      </c>
      <c r="BG55" s="599">
        <v>1468</v>
      </c>
      <c r="BH55" s="599">
        <v>485</v>
      </c>
      <c r="BI55" s="599">
        <v>1362</v>
      </c>
      <c r="BJ55" s="599">
        <v>1024</v>
      </c>
      <c r="BK55" s="599">
        <v>827</v>
      </c>
      <c r="BL55" s="599">
        <v>1235</v>
      </c>
    </row>
  </sheetData>
  <mergeCells count="4">
    <mergeCell ref="J4:P4"/>
    <mergeCell ref="Z4:AF4"/>
    <mergeCell ref="AP4:AV4"/>
    <mergeCell ref="BF4:BL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114"/>
  <sheetViews>
    <sheetView workbookViewId="0">
      <selection activeCell="I73" sqref="I73"/>
    </sheetView>
  </sheetViews>
  <sheetFormatPr defaultColWidth="10.85546875" defaultRowHeight="15"/>
  <cols>
    <col min="1" max="2" width="20.85546875" customWidth="1"/>
  </cols>
  <sheetData>
    <row r="1" spans="1:76">
      <c r="A1" s="3" t="s">
        <v>465</v>
      </c>
    </row>
    <row r="2" spans="1:76">
      <c r="A2" t="s">
        <v>466</v>
      </c>
    </row>
    <row r="3" spans="1:76" ht="15.75" thickBot="1"/>
    <row r="4" spans="1:76" ht="63.75" thickBot="1">
      <c r="A4" s="613"/>
      <c r="B4" s="614" t="s">
        <v>467</v>
      </c>
      <c r="C4" s="615" t="s">
        <v>468</v>
      </c>
      <c r="D4" s="616" t="s">
        <v>402</v>
      </c>
      <c r="E4" s="617" t="s">
        <v>469</v>
      </c>
      <c r="F4" s="616" t="s">
        <v>402</v>
      </c>
      <c r="G4" s="617" t="s">
        <v>470</v>
      </c>
      <c r="H4" s="616" t="s">
        <v>402</v>
      </c>
      <c r="I4" s="617" t="s">
        <v>471</v>
      </c>
      <c r="J4" s="618" t="s">
        <v>402</v>
      </c>
      <c r="L4" s="613"/>
      <c r="M4" s="614" t="s">
        <v>467</v>
      </c>
      <c r="N4" s="615" t="s">
        <v>468</v>
      </c>
      <c r="O4" s="616" t="s">
        <v>402</v>
      </c>
      <c r="P4" s="617" t="s">
        <v>469</v>
      </c>
      <c r="Q4" s="616" t="s">
        <v>402</v>
      </c>
      <c r="R4" s="617" t="s">
        <v>470</v>
      </c>
      <c r="S4" s="616" t="s">
        <v>402</v>
      </c>
      <c r="T4" s="617" t="s">
        <v>471</v>
      </c>
      <c r="U4" s="618" t="s">
        <v>402</v>
      </c>
      <c r="W4" s="613"/>
      <c r="X4" s="614" t="s">
        <v>467</v>
      </c>
      <c r="Y4" s="615" t="s">
        <v>468</v>
      </c>
      <c r="Z4" s="616" t="s">
        <v>402</v>
      </c>
      <c r="AA4" s="617" t="s">
        <v>469</v>
      </c>
      <c r="AB4" s="616" t="s">
        <v>402</v>
      </c>
      <c r="AC4" s="617" t="s">
        <v>470</v>
      </c>
      <c r="AD4" s="616" t="s">
        <v>402</v>
      </c>
      <c r="AE4" s="617" t="s">
        <v>471</v>
      </c>
      <c r="AF4" s="618" t="s">
        <v>402</v>
      </c>
      <c r="AH4" s="613"/>
      <c r="AI4" s="614" t="s">
        <v>467</v>
      </c>
      <c r="AJ4" s="615" t="s">
        <v>468</v>
      </c>
      <c r="AK4" s="616" t="s">
        <v>402</v>
      </c>
      <c r="AL4" s="617" t="s">
        <v>469</v>
      </c>
      <c r="AM4" s="616" t="s">
        <v>402</v>
      </c>
      <c r="AN4" s="617" t="s">
        <v>470</v>
      </c>
      <c r="AO4" s="616" t="s">
        <v>402</v>
      </c>
      <c r="AP4" s="617" t="s">
        <v>471</v>
      </c>
      <c r="AQ4" s="618" t="s">
        <v>402</v>
      </c>
      <c r="AS4" s="613"/>
      <c r="AT4" s="614" t="s">
        <v>467</v>
      </c>
      <c r="AU4" s="615" t="s">
        <v>468</v>
      </c>
      <c r="AV4" s="616" t="s">
        <v>402</v>
      </c>
      <c r="AW4" s="617" t="s">
        <v>469</v>
      </c>
      <c r="AX4" s="616" t="s">
        <v>402</v>
      </c>
      <c r="AY4" s="617" t="s">
        <v>470</v>
      </c>
      <c r="AZ4" s="616" t="s">
        <v>402</v>
      </c>
      <c r="BA4" s="617" t="s">
        <v>471</v>
      </c>
      <c r="BB4" s="618" t="s">
        <v>402</v>
      </c>
      <c r="BD4" s="619"/>
      <c r="BE4" s="620" t="s">
        <v>467</v>
      </c>
      <c r="BF4" s="621" t="s">
        <v>468</v>
      </c>
      <c r="BG4" s="622" t="s">
        <v>402</v>
      </c>
      <c r="BH4" s="623" t="s">
        <v>469</v>
      </c>
      <c r="BI4" s="622" t="s">
        <v>402</v>
      </c>
      <c r="BJ4" s="623" t="s">
        <v>470</v>
      </c>
      <c r="BK4" s="622" t="s">
        <v>402</v>
      </c>
      <c r="BL4" s="623" t="s">
        <v>471</v>
      </c>
      <c r="BM4" s="624" t="s">
        <v>402</v>
      </c>
      <c r="BO4" s="619"/>
      <c r="BP4" s="620" t="s">
        <v>467</v>
      </c>
      <c r="BQ4" s="621" t="s">
        <v>468</v>
      </c>
      <c r="BR4" s="622" t="s">
        <v>402</v>
      </c>
      <c r="BS4" s="623" t="s">
        <v>469</v>
      </c>
      <c r="BT4" s="622" t="s">
        <v>402</v>
      </c>
      <c r="BU4" s="623" t="s">
        <v>470</v>
      </c>
      <c r="BV4" s="622" t="s">
        <v>402</v>
      </c>
      <c r="BW4" s="623" t="s">
        <v>471</v>
      </c>
      <c r="BX4" s="624" t="s">
        <v>402</v>
      </c>
    </row>
    <row r="5" spans="1:76" ht="16.5" thickBot="1">
      <c r="A5" s="625">
        <v>2012</v>
      </c>
      <c r="B5" s="626" t="s">
        <v>438</v>
      </c>
      <c r="C5" s="627">
        <v>43101</v>
      </c>
      <c r="D5" s="628">
        <v>1150</v>
      </c>
      <c r="E5" s="629">
        <f>SUM(E7,E15)</f>
        <v>21112</v>
      </c>
      <c r="F5" s="630">
        <f>SQRT(SUM(F7^2)+(F15^2))</f>
        <v>1847.5808507342786</v>
      </c>
      <c r="G5" s="627">
        <f>SUM(G7,G15)</f>
        <v>10523</v>
      </c>
      <c r="H5" s="628">
        <f>SQRT(SUM(H7^2)+(H15^2))</f>
        <v>1354.9867158020406</v>
      </c>
      <c r="I5" s="629">
        <f>SUM(I7,I15)</f>
        <v>11087</v>
      </c>
      <c r="J5" s="631">
        <f>SQRT(SUM(J7^2)+(J15^2))</f>
        <v>1472.1103898824979</v>
      </c>
      <c r="L5" s="625">
        <v>2013</v>
      </c>
      <c r="M5" s="626" t="s">
        <v>438</v>
      </c>
      <c r="N5" s="627">
        <v>43712</v>
      </c>
      <c r="O5" s="628">
        <v>1347</v>
      </c>
      <c r="P5" s="629">
        <f>SUM(P7,P15)</f>
        <v>21710</v>
      </c>
      <c r="Q5" s="630">
        <f>SQRT(SUM(Q7^2)+(Q15^2))</f>
        <v>1729.1474778051756</v>
      </c>
      <c r="R5" s="627">
        <f>SUM(R7,R15)</f>
        <v>10787</v>
      </c>
      <c r="S5" s="628">
        <f>SQRT(SUM(S7^2)+(S15^2))</f>
        <v>1526.8660714024659</v>
      </c>
      <c r="T5" s="629">
        <f>SUM(T7,T15)</f>
        <v>10342</v>
      </c>
      <c r="U5" s="631">
        <f>SQRT(SUM(U7^2)+(U15^2))</f>
        <v>1471.0530241972924</v>
      </c>
      <c r="W5" s="625">
        <v>2014</v>
      </c>
      <c r="X5" s="626" t="s">
        <v>438</v>
      </c>
      <c r="Y5" s="627">
        <v>44661</v>
      </c>
      <c r="Z5" s="628">
        <v>1030</v>
      </c>
      <c r="AA5" s="629">
        <f>SUM(AA7,AA15)</f>
        <v>23100</v>
      </c>
      <c r="AB5" s="630">
        <f>SQRT(SUM(AB7^2)+(AB15^2))</f>
        <v>1897.9723391029704</v>
      </c>
      <c r="AC5" s="627">
        <f>SUM(AC7,AC15)</f>
        <v>9753</v>
      </c>
      <c r="AD5" s="628">
        <f>SQRT(SUM(AD7^2)+(AD15^2))</f>
        <v>1416.2944609084655</v>
      </c>
      <c r="AE5" s="629">
        <f>SUM(AE7,AE15)</f>
        <v>11100</v>
      </c>
      <c r="AF5" s="631">
        <f>SQRT(SUM(AF7^2)+(AF15^2))</f>
        <v>1648.7367891813417</v>
      </c>
      <c r="AH5" s="625">
        <v>2015</v>
      </c>
      <c r="AI5" s="626" t="s">
        <v>438</v>
      </c>
      <c r="AJ5" s="627">
        <v>43018</v>
      </c>
      <c r="AK5" s="628">
        <v>1187</v>
      </c>
      <c r="AL5" s="629">
        <f>SUM(AL7,AL15)</f>
        <v>22590</v>
      </c>
      <c r="AM5" s="630">
        <f>SQRT(SUM(AM7^2)+(AM15^2))</f>
        <v>1501.1175836689142</v>
      </c>
      <c r="AN5" s="627">
        <f>SUM(AN7,AN15)</f>
        <v>11471</v>
      </c>
      <c r="AO5" s="628">
        <f>SQRT(SUM(AO7^2)+(AO15^2))</f>
        <v>1511.7579171282682</v>
      </c>
      <c r="AP5" s="629">
        <f>SUM(AP7,AP15)</f>
        <v>10732</v>
      </c>
      <c r="AQ5" s="631">
        <f>SQRT(SUM(AQ7^2)+(AQ15^2))</f>
        <v>1472.5073853804604</v>
      </c>
      <c r="AS5" s="625">
        <v>2016</v>
      </c>
      <c r="AT5" s="626" t="s">
        <v>438</v>
      </c>
      <c r="AU5" s="627">
        <v>46478</v>
      </c>
      <c r="AV5" s="628">
        <v>1171</v>
      </c>
      <c r="AW5" s="629">
        <f>SUM(AW7,AW15)</f>
        <v>24356</v>
      </c>
      <c r="AX5" s="630">
        <f>SQRT(SUM(AX7^2)+(AX15^2))</f>
        <v>1806.7979964567151</v>
      </c>
      <c r="AY5" s="627">
        <f>SUM(AY7,AY15)</f>
        <v>9559</v>
      </c>
      <c r="AZ5" s="628">
        <f>SQRT(SUM(AZ7^2)+(AZ15^2))</f>
        <v>1599.0390864516103</v>
      </c>
      <c r="BA5" s="629">
        <f>SUM(BA7,BA15)</f>
        <v>11770</v>
      </c>
      <c r="BB5" s="631">
        <f>SQRT(SUM(BB7^2)+(BB15^2))</f>
        <v>1721.4398043498354</v>
      </c>
      <c r="BD5" s="632">
        <v>2017</v>
      </c>
      <c r="BE5" s="633" t="s">
        <v>438</v>
      </c>
      <c r="BF5" s="634">
        <v>46645</v>
      </c>
      <c r="BG5" s="635">
        <v>1338</v>
      </c>
      <c r="BH5" s="636">
        <f>SUM(BH7,BH15)</f>
        <v>24732</v>
      </c>
      <c r="BI5" s="630">
        <f>SQRT(SUM(BI7^2)+(BI15^2))</f>
        <v>1781.2228945306088</v>
      </c>
      <c r="BJ5" s="627">
        <f>SUM(BJ7,BJ15)</f>
        <v>10632</v>
      </c>
      <c r="BK5" s="628">
        <f>SQRT(SUM(BK7^2)+(BK15^2))</f>
        <v>1463.2446822045861</v>
      </c>
      <c r="BL5" s="629">
        <f>SUM(BL7,BL15)</f>
        <v>10596</v>
      </c>
      <c r="BM5" s="631">
        <f>SQRT(SUM(BM7^2)+(BM15^2))</f>
        <v>1594.582076909182</v>
      </c>
      <c r="BO5" s="632">
        <v>2018</v>
      </c>
      <c r="BP5" s="626" t="s">
        <v>438</v>
      </c>
      <c r="BQ5" s="627"/>
      <c r="BR5" s="628"/>
      <c r="BS5" s="629">
        <f>SUM(BS7,BS15)</f>
        <v>0</v>
      </c>
      <c r="BT5" s="630">
        <f>SQRT(SUM(BT7^2)+(BT15^2))</f>
        <v>0</v>
      </c>
      <c r="BU5" s="627">
        <f>SUM(BU7,BU15)</f>
        <v>0</v>
      </c>
      <c r="BV5" s="628">
        <f>SQRT(SUM(BV7^2)+(BV15^2))</f>
        <v>0</v>
      </c>
      <c r="BW5" s="629">
        <f>SUM(BW7,BW15)</f>
        <v>0</v>
      </c>
      <c r="BX5" s="631">
        <f>SQRT(SUM(BX7^2)+(BX15^2))</f>
        <v>0</v>
      </c>
    </row>
    <row r="6" spans="1:76" ht="16.5" thickBot="1">
      <c r="A6" s="144"/>
      <c r="B6" s="144"/>
      <c r="C6" s="11"/>
      <c r="D6" s="11"/>
      <c r="E6" s="11"/>
      <c r="F6" s="11"/>
      <c r="G6" s="11"/>
      <c r="H6" s="11"/>
      <c r="I6" s="11"/>
      <c r="J6" s="637"/>
      <c r="L6" s="144"/>
      <c r="M6" s="144"/>
      <c r="N6" s="11"/>
      <c r="O6" s="11"/>
      <c r="P6" s="11"/>
      <c r="Q6" s="11"/>
      <c r="R6" s="11"/>
      <c r="S6" s="11"/>
      <c r="T6" s="11"/>
      <c r="U6" s="637"/>
      <c r="W6" s="144"/>
      <c r="X6" s="144"/>
      <c r="Y6" s="11"/>
      <c r="Z6" s="11"/>
      <c r="AA6" s="11"/>
      <c r="AB6" s="11"/>
      <c r="AC6" s="11"/>
      <c r="AD6" s="11"/>
      <c r="AE6" s="11"/>
      <c r="AF6" s="637"/>
      <c r="AH6" s="144"/>
      <c r="AI6" s="144"/>
      <c r="AJ6" s="11"/>
      <c r="AK6" s="11"/>
      <c r="AL6" s="11"/>
      <c r="AM6" s="11"/>
      <c r="AN6" s="11"/>
      <c r="AO6" s="11"/>
      <c r="AP6" s="11"/>
      <c r="AQ6" s="637"/>
      <c r="AS6" s="144"/>
      <c r="AT6" s="144"/>
      <c r="AU6" s="11"/>
      <c r="AV6" s="11"/>
      <c r="AW6" s="11"/>
      <c r="AX6" s="11"/>
      <c r="AY6" s="11"/>
      <c r="AZ6" s="11"/>
      <c r="BA6" s="11"/>
      <c r="BB6" s="637"/>
      <c r="BD6" s="638"/>
      <c r="BE6" s="638"/>
      <c r="BF6" s="639"/>
      <c r="BG6" s="639"/>
      <c r="BH6" s="639"/>
      <c r="BI6" s="639"/>
      <c r="BJ6" s="639"/>
      <c r="BK6" s="639"/>
      <c r="BL6" s="639"/>
      <c r="BM6" s="640"/>
      <c r="BO6" s="638"/>
      <c r="BP6" s="144"/>
      <c r="BQ6" s="11"/>
      <c r="BR6" s="11"/>
      <c r="BS6" s="11"/>
      <c r="BT6" s="11"/>
      <c r="BU6" s="11"/>
      <c r="BV6" s="11"/>
      <c r="BW6" s="11"/>
      <c r="BX6" s="637"/>
    </row>
    <row r="7" spans="1:76" ht="15.75">
      <c r="A7" s="641" t="s">
        <v>472</v>
      </c>
      <c r="B7" s="642" t="s">
        <v>438</v>
      </c>
      <c r="C7" s="643">
        <v>30216</v>
      </c>
      <c r="D7" s="644">
        <v>1111</v>
      </c>
      <c r="E7" s="645">
        <f>SUM(E8:E12)</f>
        <v>17440</v>
      </c>
      <c r="F7" s="646">
        <f>SQRT(SUM(F8^2)+(F9^2)+(F10^2)+(F11^2)+(F12^2))</f>
        <v>1606.886741497359</v>
      </c>
      <c r="G7" s="643">
        <f>SUM(G8:G12)</f>
        <v>8008</v>
      </c>
      <c r="H7" s="644">
        <f>SQRT(SUM(H8^2)+(H9^2)+(H10^2)+(H11^2)+(H12^2))</f>
        <v>1173.0417724872375</v>
      </c>
      <c r="I7" s="645">
        <f>SUM(I8:I12)</f>
        <v>4654</v>
      </c>
      <c r="J7" s="647">
        <f>SQRT(SUM(J8^2)+(J9^2)+(J10^2)+(J11^2)+(J12^2))</f>
        <v>933.5603890482929</v>
      </c>
      <c r="L7" s="641" t="s">
        <v>472</v>
      </c>
      <c r="M7" s="642" t="s">
        <v>438</v>
      </c>
      <c r="N7" s="643">
        <v>30708</v>
      </c>
      <c r="O7" s="644">
        <v>1382</v>
      </c>
      <c r="P7" s="645">
        <f>SUM(P8:P12)</f>
        <v>18516</v>
      </c>
      <c r="Q7" s="646">
        <f>SQRT(SUM(Q8^2)+(Q9^2)+(Q10^2)+(Q11^2)+(Q12^2))</f>
        <v>1520.0256576781853</v>
      </c>
      <c r="R7" s="643">
        <f>SUM(R8:R12)</f>
        <v>7367</v>
      </c>
      <c r="S7" s="644">
        <f>SQRT(SUM(S8^2)+(S9^2)+(S10^2)+(S11^2)+(S12^2))</f>
        <v>1262.0356571824743</v>
      </c>
      <c r="T7" s="645">
        <f>SUM(T8:T12)</f>
        <v>4596</v>
      </c>
      <c r="U7" s="647">
        <f>SQRT(SUM(U8^2)+(U9^2)+(U10^2)+(U11^2)+(U12^2))</f>
        <v>913.62300759120558</v>
      </c>
      <c r="W7" s="641" t="s">
        <v>472</v>
      </c>
      <c r="X7" s="642" t="s">
        <v>438</v>
      </c>
      <c r="Y7" s="643">
        <v>30679</v>
      </c>
      <c r="Z7" s="644">
        <v>1467</v>
      </c>
      <c r="AA7" s="645">
        <f>SUM(AA8:AA12)</f>
        <v>19173</v>
      </c>
      <c r="AB7" s="646">
        <f>SQRT(SUM(AB8^2)+(AB9^2)+(AB10^2)+(AB11^2)+(AB12^2))</f>
        <v>1624.3937330585834</v>
      </c>
      <c r="AC7" s="643">
        <f>SUM(AC8:AC12)</f>
        <v>6740</v>
      </c>
      <c r="AD7" s="644">
        <f>SQRT(SUM(AD8^2)+(AD9^2)+(AD10^2)+(AD11^2)+(AD12^2))</f>
        <v>1186.0838924797858</v>
      </c>
      <c r="AE7" s="645">
        <f>SUM(AE8:AE12)</f>
        <v>4766</v>
      </c>
      <c r="AF7" s="647">
        <f>SQRT(SUM(AF8^2)+(AF9^2)+(AF10^2)+(AF11^2)+(AF12^2))</f>
        <v>880.39252609276502</v>
      </c>
      <c r="AH7" s="641" t="s">
        <v>472</v>
      </c>
      <c r="AI7" s="642" t="s">
        <v>438</v>
      </c>
      <c r="AJ7" s="643">
        <v>30355</v>
      </c>
      <c r="AK7" s="644">
        <v>1074</v>
      </c>
      <c r="AL7" s="645">
        <f>SUM(AL8:AL12)</f>
        <v>19583</v>
      </c>
      <c r="AM7" s="646">
        <f>SQRT(SUM(AM8^2)+(AM9^2)+(AM10^2)+(AM11^2)+(AM12^2))</f>
        <v>1334.8760242059934</v>
      </c>
      <c r="AN7" s="643">
        <f>SUM(AN8:AN12)</f>
        <v>8217</v>
      </c>
      <c r="AO7" s="644">
        <f>SQRT(SUM(AO8^2)+(AO9^2)+(AO10^2)+(AO11^2)+(AO12^2))</f>
        <v>1200.3241228934792</v>
      </c>
      <c r="AP7" s="645">
        <f>SUM(AP8:AP12)</f>
        <v>4987</v>
      </c>
      <c r="AQ7" s="647">
        <f>SQRT(SUM(AQ8^2)+(AQ9^2)+(AQ10^2)+(AQ11^2)+(AQ12^2))</f>
        <v>911.25078875137331</v>
      </c>
      <c r="AS7" s="641" t="s">
        <v>472</v>
      </c>
      <c r="AT7" s="642" t="s">
        <v>438</v>
      </c>
      <c r="AU7" s="643">
        <v>32325</v>
      </c>
      <c r="AV7" s="644">
        <v>1506</v>
      </c>
      <c r="AW7" s="645">
        <f>SUM(AW8:AW12)</f>
        <v>20544</v>
      </c>
      <c r="AX7" s="646">
        <f>SQRT(SUM(AX8^2)+(AX9^2)+(AX10^2)+(AX11^2)+(AX12^2))</f>
        <v>1583.5532829684007</v>
      </c>
      <c r="AY7" s="643">
        <f>SUM(AY8:AY12)</f>
        <v>6850</v>
      </c>
      <c r="AZ7" s="644">
        <f>SQRT(SUM(AZ8^2)+(AZ9^2)+(AZ10^2)+(AZ11^2)+(AZ12^2))</f>
        <v>1384.8805002598599</v>
      </c>
      <c r="BA7" s="645">
        <f>SUM(BA8:BA12)</f>
        <v>4789</v>
      </c>
      <c r="BB7" s="647">
        <f>SQRT(SUM(BB8^2)+(BB9^2)+(BB10^2)+(BB11^2)+(BB12^2))</f>
        <v>1196.8291440301743</v>
      </c>
      <c r="BD7" s="648" t="s">
        <v>472</v>
      </c>
      <c r="BE7" s="649" t="s">
        <v>438</v>
      </c>
      <c r="BF7" s="650">
        <v>31637</v>
      </c>
      <c r="BG7" s="651">
        <v>1343</v>
      </c>
      <c r="BH7" s="645">
        <f>SUM(BH8:BH12)</f>
        <v>21347</v>
      </c>
      <c r="BI7" s="646">
        <f>SQRT(SUM(BI8^2)+(BI9^2)+(BI10^2)+(BI11^2)+(BI12^2))</f>
        <v>1566.8557687292089</v>
      </c>
      <c r="BJ7" s="643">
        <f>SUM(BJ8:BJ12)</f>
        <v>5833</v>
      </c>
      <c r="BK7" s="644">
        <f>SQRT(SUM(BK8^2)+(BK9^2)+(BK10^2)+(BK11^2)+(BK12^2))</f>
        <v>1022.2661101689716</v>
      </c>
      <c r="BL7" s="645">
        <f>SUM(BL8:BL12)</f>
        <v>4402</v>
      </c>
      <c r="BM7" s="647">
        <f>SQRT(SUM(BM8^2)+(BM9^2)+(BM10^2)+(BM11^2)+(BM12^2))</f>
        <v>965.5646016709602</v>
      </c>
      <c r="BO7" s="648" t="s">
        <v>472</v>
      </c>
      <c r="BP7" s="642" t="s">
        <v>438</v>
      </c>
      <c r="BQ7" s="643"/>
      <c r="BR7" s="644"/>
      <c r="BS7" s="645">
        <f>SUM(BS8:BS12)</f>
        <v>0</v>
      </c>
      <c r="BT7" s="646">
        <f>SQRT(SUM(BT8^2)+(BT9^2)+(BT10^2)+(BT11^2)+(BT12^2))</f>
        <v>0</v>
      </c>
      <c r="BU7" s="643">
        <f>SUM(BU8:BU12)</f>
        <v>0</v>
      </c>
      <c r="BV7" s="644">
        <f>SQRT(SUM(BV8^2)+(BV9^2)+(BV10^2)+(BV11^2)+(BV12^2))</f>
        <v>0</v>
      </c>
      <c r="BW7" s="645">
        <f>SUM(BW8:BW12)</f>
        <v>0</v>
      </c>
      <c r="BX7" s="647">
        <f>SQRT(SUM(BX8^2)+(BX9^2)+(BX10^2)+(BX11^2)+(BX12^2))</f>
        <v>0</v>
      </c>
    </row>
    <row r="8" spans="1:76" ht="15.75">
      <c r="A8" s="652"/>
      <c r="B8" s="653" t="s">
        <v>473</v>
      </c>
      <c r="C8" s="130">
        <v>1544</v>
      </c>
      <c r="D8" s="654">
        <v>470</v>
      </c>
      <c r="E8" s="655">
        <v>151</v>
      </c>
      <c r="F8" s="656">
        <v>124</v>
      </c>
      <c r="G8" s="130">
        <v>103</v>
      </c>
      <c r="H8" s="654">
        <v>91</v>
      </c>
      <c r="I8" s="655">
        <v>1290</v>
      </c>
      <c r="J8" s="657">
        <v>434</v>
      </c>
      <c r="L8" s="652"/>
      <c r="M8" s="653" t="s">
        <v>473</v>
      </c>
      <c r="N8" s="130">
        <v>1841</v>
      </c>
      <c r="O8" s="654">
        <v>551</v>
      </c>
      <c r="P8" s="655">
        <v>171</v>
      </c>
      <c r="Q8" s="656">
        <v>165</v>
      </c>
      <c r="R8" s="130">
        <v>298</v>
      </c>
      <c r="S8" s="654">
        <v>189</v>
      </c>
      <c r="T8" s="655">
        <v>1372</v>
      </c>
      <c r="U8" s="657">
        <v>482</v>
      </c>
      <c r="W8" s="652"/>
      <c r="X8" s="653" t="s">
        <v>473</v>
      </c>
      <c r="Y8" s="130">
        <v>1484</v>
      </c>
      <c r="Z8" s="654">
        <v>593</v>
      </c>
      <c r="AA8" s="655">
        <v>53</v>
      </c>
      <c r="AB8" s="656">
        <v>86</v>
      </c>
      <c r="AC8" s="130">
        <v>406</v>
      </c>
      <c r="AD8" s="654">
        <v>434</v>
      </c>
      <c r="AE8" s="655">
        <v>1025</v>
      </c>
      <c r="AF8" s="657">
        <v>337</v>
      </c>
      <c r="AH8" s="652"/>
      <c r="AI8" s="653" t="s">
        <v>473</v>
      </c>
      <c r="AJ8" s="130">
        <v>1640</v>
      </c>
      <c r="AK8" s="654">
        <v>565</v>
      </c>
      <c r="AL8" s="655">
        <v>81</v>
      </c>
      <c r="AM8" s="656">
        <v>351</v>
      </c>
      <c r="AN8" s="130">
        <v>1208</v>
      </c>
      <c r="AO8" s="654">
        <v>471</v>
      </c>
      <c r="AP8" s="655">
        <v>2464</v>
      </c>
      <c r="AQ8" s="657">
        <v>668</v>
      </c>
      <c r="AS8" s="652"/>
      <c r="AT8" s="653" t="s">
        <v>473</v>
      </c>
      <c r="AU8" s="130">
        <v>1611</v>
      </c>
      <c r="AV8" s="654">
        <v>635</v>
      </c>
      <c r="AW8" s="655">
        <v>181</v>
      </c>
      <c r="AX8" s="656">
        <v>232</v>
      </c>
      <c r="AY8" s="130">
        <v>231</v>
      </c>
      <c r="AZ8" s="654">
        <v>165</v>
      </c>
      <c r="BA8" s="655">
        <v>1199</v>
      </c>
      <c r="BB8" s="657">
        <v>531</v>
      </c>
      <c r="BD8" s="658"/>
      <c r="BE8" s="659" t="s">
        <v>473</v>
      </c>
      <c r="BF8" s="660">
        <v>1217</v>
      </c>
      <c r="BG8" s="661">
        <v>527</v>
      </c>
      <c r="BH8" s="662">
        <v>210</v>
      </c>
      <c r="BI8" s="663">
        <v>182</v>
      </c>
      <c r="BJ8" s="660">
        <v>41</v>
      </c>
      <c r="BK8" s="661">
        <v>68</v>
      </c>
      <c r="BL8" s="662">
        <v>966</v>
      </c>
      <c r="BM8" s="664">
        <v>472</v>
      </c>
      <c r="BO8" s="658"/>
      <c r="BP8" s="653" t="s">
        <v>473</v>
      </c>
      <c r="BQ8" s="130"/>
      <c r="BR8" s="654"/>
      <c r="BS8" s="655"/>
      <c r="BT8" s="656"/>
      <c r="BU8" s="130"/>
      <c r="BV8" s="654"/>
      <c r="BW8" s="655"/>
      <c r="BX8" s="657"/>
    </row>
    <row r="9" spans="1:76" ht="15.75">
      <c r="A9" s="652"/>
      <c r="B9" s="653" t="s">
        <v>474</v>
      </c>
      <c r="C9" s="130">
        <v>2602</v>
      </c>
      <c r="D9" s="654">
        <v>641</v>
      </c>
      <c r="E9" s="655">
        <v>924</v>
      </c>
      <c r="F9" s="656">
        <v>415</v>
      </c>
      <c r="G9" s="130">
        <v>494</v>
      </c>
      <c r="H9" s="654">
        <v>284</v>
      </c>
      <c r="I9" s="655">
        <v>1184</v>
      </c>
      <c r="J9" s="657">
        <v>480</v>
      </c>
      <c r="L9" s="652"/>
      <c r="M9" s="653" t="s">
        <v>474</v>
      </c>
      <c r="N9" s="130">
        <v>3038</v>
      </c>
      <c r="O9" s="654">
        <v>636</v>
      </c>
      <c r="P9" s="655">
        <v>860</v>
      </c>
      <c r="Q9" s="656">
        <v>382</v>
      </c>
      <c r="R9" s="130">
        <v>832</v>
      </c>
      <c r="S9" s="654">
        <v>392</v>
      </c>
      <c r="T9" s="655">
        <v>1346</v>
      </c>
      <c r="U9" s="657">
        <v>493</v>
      </c>
      <c r="W9" s="652"/>
      <c r="X9" s="653" t="s">
        <v>474</v>
      </c>
      <c r="Y9" s="130">
        <v>2936</v>
      </c>
      <c r="Z9" s="654">
        <v>740</v>
      </c>
      <c r="AA9" s="655">
        <v>433</v>
      </c>
      <c r="AB9" s="656">
        <v>237</v>
      </c>
      <c r="AC9" s="130">
        <v>983</v>
      </c>
      <c r="AD9" s="654">
        <v>385</v>
      </c>
      <c r="AE9" s="655">
        <v>1520</v>
      </c>
      <c r="AF9" s="657">
        <v>520</v>
      </c>
      <c r="AH9" s="652"/>
      <c r="AI9" s="653" t="s">
        <v>474</v>
      </c>
      <c r="AJ9" s="130">
        <v>662</v>
      </c>
      <c r="AK9" s="654">
        <v>319</v>
      </c>
      <c r="AL9" s="655">
        <v>635</v>
      </c>
      <c r="AM9" s="656">
        <v>324</v>
      </c>
      <c r="AN9" s="130">
        <v>1167</v>
      </c>
      <c r="AO9" s="654">
        <v>434</v>
      </c>
      <c r="AP9" s="655">
        <v>1167</v>
      </c>
      <c r="AQ9" s="657">
        <v>434</v>
      </c>
      <c r="AS9" s="652"/>
      <c r="AT9" s="653" t="s">
        <v>474</v>
      </c>
      <c r="AU9" s="130">
        <v>2438</v>
      </c>
      <c r="AV9" s="654">
        <v>703</v>
      </c>
      <c r="AW9" s="655">
        <v>774</v>
      </c>
      <c r="AX9" s="656">
        <v>320</v>
      </c>
      <c r="AY9" s="130">
        <v>651</v>
      </c>
      <c r="AZ9" s="654">
        <v>336</v>
      </c>
      <c r="BA9" s="655">
        <v>1013</v>
      </c>
      <c r="BB9" s="657">
        <v>435</v>
      </c>
      <c r="BD9" s="658"/>
      <c r="BE9" s="659" t="s">
        <v>474</v>
      </c>
      <c r="BF9" s="660">
        <v>1926</v>
      </c>
      <c r="BG9" s="661">
        <v>602</v>
      </c>
      <c r="BH9" s="662">
        <v>511</v>
      </c>
      <c r="BI9" s="663">
        <v>265</v>
      </c>
      <c r="BJ9" s="660">
        <v>545</v>
      </c>
      <c r="BK9" s="661">
        <v>376</v>
      </c>
      <c r="BL9" s="662">
        <v>870</v>
      </c>
      <c r="BM9" s="664">
        <v>369</v>
      </c>
      <c r="BO9" s="658"/>
      <c r="BP9" s="653" t="s">
        <v>474</v>
      </c>
      <c r="BQ9" s="130"/>
      <c r="BR9" s="654"/>
      <c r="BS9" s="655"/>
      <c r="BT9" s="656"/>
      <c r="BU9" s="130"/>
      <c r="BV9" s="654"/>
      <c r="BW9" s="655"/>
      <c r="BX9" s="657"/>
    </row>
    <row r="10" spans="1:76" ht="15.75">
      <c r="A10" s="652"/>
      <c r="B10" s="653" t="s">
        <v>475</v>
      </c>
      <c r="C10" s="130">
        <v>3842</v>
      </c>
      <c r="D10" s="654">
        <v>815</v>
      </c>
      <c r="E10" s="655">
        <v>1699</v>
      </c>
      <c r="F10" s="656">
        <v>480</v>
      </c>
      <c r="G10" s="130">
        <v>1188</v>
      </c>
      <c r="H10" s="654">
        <v>507</v>
      </c>
      <c r="I10" s="655">
        <v>955</v>
      </c>
      <c r="J10" s="657">
        <v>477</v>
      </c>
      <c r="L10" s="652"/>
      <c r="M10" s="653" t="s">
        <v>475</v>
      </c>
      <c r="N10" s="130">
        <v>3690</v>
      </c>
      <c r="O10" s="654">
        <v>829</v>
      </c>
      <c r="P10" s="655">
        <v>1638</v>
      </c>
      <c r="Q10" s="656">
        <v>583</v>
      </c>
      <c r="R10" s="130">
        <v>1207</v>
      </c>
      <c r="S10" s="654">
        <v>574</v>
      </c>
      <c r="T10" s="655">
        <v>845</v>
      </c>
      <c r="U10" s="657">
        <v>355</v>
      </c>
      <c r="W10" s="652"/>
      <c r="X10" s="653" t="s">
        <v>475</v>
      </c>
      <c r="Y10" s="130">
        <v>3169</v>
      </c>
      <c r="Z10" s="654">
        <v>733</v>
      </c>
      <c r="AA10" s="655">
        <v>1153</v>
      </c>
      <c r="AB10" s="656">
        <v>323</v>
      </c>
      <c r="AC10" s="130">
        <v>1212</v>
      </c>
      <c r="AD10" s="654">
        <v>587</v>
      </c>
      <c r="AE10" s="655">
        <v>804</v>
      </c>
      <c r="AF10" s="657">
        <v>343</v>
      </c>
      <c r="AH10" s="652"/>
      <c r="AI10" s="653" t="s">
        <v>475</v>
      </c>
      <c r="AJ10" s="130">
        <v>3243</v>
      </c>
      <c r="AK10" s="654">
        <v>658</v>
      </c>
      <c r="AL10" s="655">
        <v>1566</v>
      </c>
      <c r="AM10" s="656">
        <v>436</v>
      </c>
      <c r="AN10" s="130">
        <v>975</v>
      </c>
      <c r="AO10" s="654">
        <v>382</v>
      </c>
      <c r="AP10" s="655">
        <v>702</v>
      </c>
      <c r="AQ10" s="657">
        <v>334</v>
      </c>
      <c r="AS10" s="652"/>
      <c r="AT10" s="653" t="s">
        <v>475</v>
      </c>
      <c r="AU10" s="130">
        <v>4306</v>
      </c>
      <c r="AV10" s="654">
        <v>1212</v>
      </c>
      <c r="AW10" s="655">
        <v>1957</v>
      </c>
      <c r="AX10" s="656">
        <v>749</v>
      </c>
      <c r="AY10" s="130">
        <v>854</v>
      </c>
      <c r="AZ10" s="654">
        <v>862</v>
      </c>
      <c r="BA10" s="655">
        <v>1495</v>
      </c>
      <c r="BB10" s="657">
        <v>862</v>
      </c>
      <c r="BD10" s="658"/>
      <c r="BE10" s="659" t="s">
        <v>475</v>
      </c>
      <c r="BF10" s="660">
        <v>2549</v>
      </c>
      <c r="BG10" s="661">
        <v>558</v>
      </c>
      <c r="BH10" s="662">
        <v>1294</v>
      </c>
      <c r="BI10" s="663">
        <v>376</v>
      </c>
      <c r="BJ10" s="660">
        <v>331</v>
      </c>
      <c r="BK10" s="661">
        <v>224</v>
      </c>
      <c r="BL10" s="662">
        <v>924</v>
      </c>
      <c r="BM10" s="664">
        <v>417</v>
      </c>
      <c r="BO10" s="658"/>
      <c r="BP10" s="653" t="s">
        <v>475</v>
      </c>
      <c r="BQ10" s="130"/>
      <c r="BR10" s="654"/>
      <c r="BS10" s="655"/>
      <c r="BT10" s="656"/>
      <c r="BU10" s="130"/>
      <c r="BV10" s="654"/>
      <c r="BW10" s="655"/>
      <c r="BX10" s="657"/>
    </row>
    <row r="11" spans="1:76" ht="15.75">
      <c r="A11" s="652"/>
      <c r="B11" s="653" t="s">
        <v>476</v>
      </c>
      <c r="C11" s="130">
        <v>6774</v>
      </c>
      <c r="D11" s="654">
        <v>1099</v>
      </c>
      <c r="E11" s="655">
        <v>3177</v>
      </c>
      <c r="F11" s="656">
        <v>822</v>
      </c>
      <c r="G11" s="130">
        <v>2531</v>
      </c>
      <c r="H11" s="654">
        <v>660</v>
      </c>
      <c r="I11" s="655">
        <v>1066</v>
      </c>
      <c r="J11" s="657">
        <v>455</v>
      </c>
      <c r="L11" s="652"/>
      <c r="M11" s="653" t="s">
        <v>476</v>
      </c>
      <c r="N11" s="130">
        <v>5682</v>
      </c>
      <c r="O11" s="654">
        <v>1005</v>
      </c>
      <c r="P11" s="655">
        <v>2811</v>
      </c>
      <c r="Q11" s="656">
        <v>712</v>
      </c>
      <c r="R11" s="130">
        <v>2210</v>
      </c>
      <c r="S11" s="654">
        <v>673</v>
      </c>
      <c r="T11" s="655">
        <v>661</v>
      </c>
      <c r="U11" s="657">
        <v>395</v>
      </c>
      <c r="W11" s="652"/>
      <c r="X11" s="653" t="s">
        <v>476</v>
      </c>
      <c r="Y11" s="130">
        <v>5927</v>
      </c>
      <c r="Z11" s="654">
        <v>1048</v>
      </c>
      <c r="AA11" s="655">
        <v>3237</v>
      </c>
      <c r="AB11" s="656">
        <v>795</v>
      </c>
      <c r="AC11" s="130">
        <v>1824</v>
      </c>
      <c r="AD11" s="654">
        <v>541</v>
      </c>
      <c r="AE11" s="655">
        <v>866</v>
      </c>
      <c r="AF11" s="657">
        <v>452</v>
      </c>
      <c r="AH11" s="652"/>
      <c r="AI11" s="653" t="s">
        <v>476</v>
      </c>
      <c r="AJ11" s="130">
        <v>5873</v>
      </c>
      <c r="AK11" s="654">
        <v>902</v>
      </c>
      <c r="AL11" s="655">
        <v>3246</v>
      </c>
      <c r="AM11" s="656">
        <v>686</v>
      </c>
      <c r="AN11" s="130">
        <v>2065</v>
      </c>
      <c r="AO11" s="654">
        <v>604</v>
      </c>
      <c r="AP11" s="655">
        <v>562</v>
      </c>
      <c r="AQ11" s="657">
        <v>269</v>
      </c>
      <c r="AS11" s="652"/>
      <c r="AT11" s="653" t="s">
        <v>476</v>
      </c>
      <c r="AU11" s="130">
        <v>5615</v>
      </c>
      <c r="AV11" s="654">
        <v>843</v>
      </c>
      <c r="AW11" s="655">
        <v>2438</v>
      </c>
      <c r="AX11" s="656">
        <v>600</v>
      </c>
      <c r="AY11" s="130">
        <v>2682</v>
      </c>
      <c r="AZ11" s="654">
        <v>685</v>
      </c>
      <c r="BA11" s="655">
        <v>495</v>
      </c>
      <c r="BB11" s="657">
        <v>273</v>
      </c>
      <c r="BD11" s="658"/>
      <c r="BE11" s="659" t="s">
        <v>476</v>
      </c>
      <c r="BF11" s="660">
        <v>5645</v>
      </c>
      <c r="BG11" s="661">
        <v>954</v>
      </c>
      <c r="BH11" s="662">
        <v>2421</v>
      </c>
      <c r="BI11" s="663">
        <v>614</v>
      </c>
      <c r="BJ11" s="660">
        <v>2093</v>
      </c>
      <c r="BK11" s="661">
        <v>626</v>
      </c>
      <c r="BL11" s="662">
        <v>1131</v>
      </c>
      <c r="BM11" s="664">
        <v>516</v>
      </c>
      <c r="BO11" s="658"/>
      <c r="BP11" s="653" t="s">
        <v>476</v>
      </c>
      <c r="BQ11" s="130"/>
      <c r="BR11" s="654"/>
      <c r="BS11" s="655"/>
      <c r="BT11" s="656"/>
      <c r="BU11" s="130"/>
      <c r="BV11" s="654"/>
      <c r="BW11" s="655"/>
      <c r="BX11" s="657"/>
    </row>
    <row r="12" spans="1:76" ht="15.75">
      <c r="A12" s="652"/>
      <c r="B12" s="653" t="s">
        <v>477</v>
      </c>
      <c r="C12" s="130">
        <v>15340</v>
      </c>
      <c r="D12" s="654">
        <v>1331</v>
      </c>
      <c r="E12" s="655">
        <v>11489</v>
      </c>
      <c r="F12" s="656">
        <v>1220</v>
      </c>
      <c r="G12" s="130">
        <v>3692</v>
      </c>
      <c r="H12" s="654">
        <v>771</v>
      </c>
      <c r="I12" s="655">
        <v>159</v>
      </c>
      <c r="J12" s="657">
        <v>135</v>
      </c>
      <c r="L12" s="652"/>
      <c r="M12" s="653" t="s">
        <v>477</v>
      </c>
      <c r="N12" s="130">
        <v>16228</v>
      </c>
      <c r="O12" s="654">
        <v>1136</v>
      </c>
      <c r="P12" s="655">
        <v>13036</v>
      </c>
      <c r="Q12" s="656">
        <v>1136</v>
      </c>
      <c r="R12" s="130">
        <v>2820</v>
      </c>
      <c r="S12" s="654">
        <v>788</v>
      </c>
      <c r="T12" s="655">
        <v>372</v>
      </c>
      <c r="U12" s="657">
        <v>278</v>
      </c>
      <c r="W12" s="652"/>
      <c r="X12" s="653" t="s">
        <v>477</v>
      </c>
      <c r="Y12" s="130">
        <v>17163</v>
      </c>
      <c r="Z12" s="654">
        <v>1317</v>
      </c>
      <c r="AA12" s="655">
        <v>14297</v>
      </c>
      <c r="AB12" s="656">
        <v>1356</v>
      </c>
      <c r="AC12" s="130">
        <v>2315</v>
      </c>
      <c r="AD12" s="654">
        <v>658</v>
      </c>
      <c r="AE12" s="655">
        <v>551</v>
      </c>
      <c r="AF12" s="657">
        <v>263</v>
      </c>
      <c r="AH12" s="652"/>
      <c r="AI12" s="653" t="s">
        <v>477</v>
      </c>
      <c r="AJ12" s="130">
        <v>16949</v>
      </c>
      <c r="AK12" s="654">
        <v>1005</v>
      </c>
      <c r="AL12" s="655">
        <v>14055</v>
      </c>
      <c r="AM12" s="656">
        <v>945</v>
      </c>
      <c r="AN12" s="130">
        <v>2802</v>
      </c>
      <c r="AO12" s="654">
        <v>721</v>
      </c>
      <c r="AP12" s="655">
        <v>92</v>
      </c>
      <c r="AQ12" s="657">
        <v>109</v>
      </c>
      <c r="AS12" s="652"/>
      <c r="AT12" s="653" t="s">
        <v>477</v>
      </c>
      <c r="AU12" s="130">
        <v>18213</v>
      </c>
      <c r="AV12" s="654">
        <v>1320</v>
      </c>
      <c r="AW12" s="655">
        <v>15194</v>
      </c>
      <c r="AX12" s="656">
        <v>1196</v>
      </c>
      <c r="AY12" s="130">
        <v>2432</v>
      </c>
      <c r="AZ12" s="654">
        <v>752</v>
      </c>
      <c r="BA12" s="655">
        <v>587</v>
      </c>
      <c r="BB12" s="657">
        <v>379</v>
      </c>
      <c r="BD12" s="658"/>
      <c r="BE12" s="659" t="s">
        <v>477</v>
      </c>
      <c r="BF12" s="660">
        <v>20245</v>
      </c>
      <c r="BG12" s="661">
        <v>1249</v>
      </c>
      <c r="BH12" s="662">
        <v>16911</v>
      </c>
      <c r="BI12" s="663">
        <v>1354</v>
      </c>
      <c r="BJ12" s="660">
        <v>2823</v>
      </c>
      <c r="BK12" s="661">
        <v>676</v>
      </c>
      <c r="BL12" s="662">
        <v>511</v>
      </c>
      <c r="BM12" s="664">
        <v>365</v>
      </c>
      <c r="BO12" s="658"/>
      <c r="BP12" s="653" t="s">
        <v>477</v>
      </c>
      <c r="BQ12" s="130"/>
      <c r="BR12" s="654"/>
      <c r="BS12" s="655"/>
      <c r="BT12" s="656"/>
      <c r="BU12" s="130"/>
      <c r="BV12" s="654"/>
      <c r="BW12" s="655"/>
      <c r="BX12" s="657"/>
    </row>
    <row r="13" spans="1:76" ht="16.5" thickBot="1">
      <c r="A13" s="665"/>
      <c r="B13" s="666" t="s">
        <v>478</v>
      </c>
      <c r="C13" s="667">
        <v>114</v>
      </c>
      <c r="D13" s="668">
        <v>189</v>
      </c>
      <c r="E13" s="669"/>
      <c r="F13" s="670"/>
      <c r="G13" s="667"/>
      <c r="H13" s="668"/>
      <c r="I13" s="669"/>
      <c r="J13" s="671"/>
      <c r="L13" s="665"/>
      <c r="M13" s="666" t="s">
        <v>478</v>
      </c>
      <c r="N13" s="667">
        <v>229</v>
      </c>
      <c r="O13" s="668">
        <v>241</v>
      </c>
      <c r="P13" s="669"/>
      <c r="Q13" s="670"/>
      <c r="R13" s="667"/>
      <c r="S13" s="668"/>
      <c r="T13" s="669"/>
      <c r="U13" s="671"/>
      <c r="W13" s="665"/>
      <c r="X13" s="666" t="s">
        <v>478</v>
      </c>
      <c r="Y13" s="667">
        <v>0</v>
      </c>
      <c r="Z13" s="668">
        <v>141</v>
      </c>
      <c r="AA13" s="669"/>
      <c r="AB13" s="670"/>
      <c r="AC13" s="667"/>
      <c r="AD13" s="668"/>
      <c r="AE13" s="669"/>
      <c r="AF13" s="671"/>
      <c r="AH13" s="665"/>
      <c r="AI13" s="666" t="s">
        <v>478</v>
      </c>
      <c r="AJ13" s="667">
        <v>186</v>
      </c>
      <c r="AK13" s="668">
        <v>155</v>
      </c>
      <c r="AL13" s="669"/>
      <c r="AM13" s="670"/>
      <c r="AN13" s="667"/>
      <c r="AO13" s="668"/>
      <c r="AP13" s="669"/>
      <c r="AQ13" s="671"/>
      <c r="AS13" s="665"/>
      <c r="AT13" s="666" t="s">
        <v>478</v>
      </c>
      <c r="AU13" s="667">
        <v>142</v>
      </c>
      <c r="AV13" s="668">
        <v>138</v>
      </c>
      <c r="AW13" s="669"/>
      <c r="AX13" s="670"/>
      <c r="AY13" s="667"/>
      <c r="AZ13" s="668"/>
      <c r="BA13" s="669"/>
      <c r="BB13" s="671"/>
      <c r="BD13" s="672"/>
      <c r="BE13" s="673" t="s">
        <v>478</v>
      </c>
      <c r="BF13" s="674">
        <v>55</v>
      </c>
      <c r="BG13" s="675">
        <v>90</v>
      </c>
      <c r="BH13" s="676"/>
      <c r="BI13" s="677"/>
      <c r="BJ13" s="674"/>
      <c r="BK13" s="675"/>
      <c r="BL13" s="676"/>
      <c r="BM13" s="678"/>
      <c r="BO13" s="672"/>
      <c r="BP13" s="666" t="s">
        <v>478</v>
      </c>
      <c r="BQ13" s="667"/>
      <c r="BR13" s="668"/>
      <c r="BS13" s="669"/>
      <c r="BT13" s="670"/>
      <c r="BU13" s="667"/>
      <c r="BV13" s="668"/>
      <c r="BW13" s="669"/>
      <c r="BX13" s="671"/>
    </row>
    <row r="14" spans="1:76" ht="16.5" thickBot="1">
      <c r="A14" s="144"/>
      <c r="B14" s="144"/>
      <c r="C14" s="11"/>
      <c r="D14" s="11"/>
      <c r="E14" s="11"/>
      <c r="F14" s="11"/>
      <c r="G14" s="11"/>
      <c r="H14" s="11"/>
      <c r="I14" s="11"/>
      <c r="J14" s="637"/>
      <c r="L14" s="144"/>
      <c r="M14" s="144"/>
      <c r="N14" s="11"/>
      <c r="O14" s="11"/>
      <c r="P14" s="11"/>
      <c r="Q14" s="11"/>
      <c r="R14" s="11"/>
      <c r="S14" s="11"/>
      <c r="T14" s="11"/>
      <c r="U14" s="637"/>
      <c r="W14" s="144"/>
      <c r="X14" s="144"/>
      <c r="Y14" s="11"/>
      <c r="Z14" s="11"/>
      <c r="AA14" s="11"/>
      <c r="AB14" s="11"/>
      <c r="AC14" s="11"/>
      <c r="AD14" s="11"/>
      <c r="AE14" s="11"/>
      <c r="AF14" s="637"/>
      <c r="AH14" s="144"/>
      <c r="AI14" s="144"/>
      <c r="AJ14" s="11"/>
      <c r="AK14" s="11"/>
      <c r="AL14" s="11"/>
      <c r="AM14" s="11"/>
      <c r="AN14" s="11"/>
      <c r="AO14" s="11"/>
      <c r="AP14" s="11"/>
      <c r="AQ14" s="637"/>
      <c r="AS14" s="144"/>
      <c r="AT14" s="144"/>
      <c r="AU14" s="11"/>
      <c r="AV14" s="11"/>
      <c r="AW14" s="11"/>
      <c r="AX14" s="11"/>
      <c r="AY14" s="11"/>
      <c r="AZ14" s="11"/>
      <c r="BA14" s="11"/>
      <c r="BB14" s="637"/>
      <c r="BD14" s="638"/>
      <c r="BE14" s="638"/>
      <c r="BF14" s="639"/>
      <c r="BG14" s="639"/>
      <c r="BH14" s="639"/>
      <c r="BI14" s="639"/>
      <c r="BJ14" s="639"/>
      <c r="BK14" s="639"/>
      <c r="BL14" s="639"/>
      <c r="BM14" s="640"/>
      <c r="BO14" s="638"/>
      <c r="BP14" s="144"/>
      <c r="BQ14" s="11"/>
      <c r="BR14" s="11"/>
      <c r="BS14" s="11"/>
      <c r="BT14" s="11"/>
      <c r="BU14" s="11"/>
      <c r="BV14" s="11"/>
      <c r="BW14" s="11"/>
      <c r="BX14" s="637"/>
    </row>
    <row r="15" spans="1:76" ht="15.75">
      <c r="A15" s="641" t="s">
        <v>479</v>
      </c>
      <c r="B15" s="642" t="s">
        <v>438</v>
      </c>
      <c r="C15" s="643">
        <v>12885</v>
      </c>
      <c r="D15" s="644">
        <v>1168</v>
      </c>
      <c r="E15" s="645">
        <f>SUM(E16:E20)</f>
        <v>3672</v>
      </c>
      <c r="F15" s="646">
        <f>SQRT(SUM(F16^2)+(F17^2)+(F18^2)+(F19^2)+(F20^2))</f>
        <v>911.84976832809468</v>
      </c>
      <c r="G15" s="643">
        <f>SUM(G16:G20)</f>
        <v>2515</v>
      </c>
      <c r="H15" s="644">
        <f>SQRT(SUM(H16^2)+(H17^2)+(H18^2)+(H19^2)+(H20^2))</f>
        <v>678.20498376228409</v>
      </c>
      <c r="I15" s="645">
        <f>SUM(I16:I20)</f>
        <v>6433</v>
      </c>
      <c r="J15" s="647">
        <f>SQRT(SUM(J16^2)+(J17^2)+(J18^2)+(J19^2)+(J20^2))</f>
        <v>1138.2328408546293</v>
      </c>
      <c r="L15" s="679" t="s">
        <v>479</v>
      </c>
      <c r="M15" s="680" t="s">
        <v>438</v>
      </c>
      <c r="N15" s="643">
        <v>13004</v>
      </c>
      <c r="O15" s="644">
        <v>1265</v>
      </c>
      <c r="P15" s="645">
        <f>SUM(P16:P20)</f>
        <v>3194</v>
      </c>
      <c r="Q15" s="646">
        <f>SQRT(SUM(Q16^2)+(Q17^2)+(Q18^2)+(Q19^2)+(Q20^2))</f>
        <v>824.30152250253673</v>
      </c>
      <c r="R15" s="643">
        <f>SUM(R16:R20)</f>
        <v>3420</v>
      </c>
      <c r="S15" s="644">
        <f>SQRT(SUM(S16^2)+(S17^2)+(S18^2)+(S19^2)+(S20^2))</f>
        <v>859.41026291288847</v>
      </c>
      <c r="T15" s="645">
        <f>SUM(T16:T20)</f>
        <v>5746</v>
      </c>
      <c r="U15" s="647">
        <f>SQRT(SUM(U16^2)+(U17^2)+(U18^2)+(U19^2)+(U20^2))</f>
        <v>1152.9483943351497</v>
      </c>
      <c r="W15" s="641" t="s">
        <v>479</v>
      </c>
      <c r="X15" s="642" t="s">
        <v>438</v>
      </c>
      <c r="Y15" s="643">
        <v>13982</v>
      </c>
      <c r="Z15" s="644">
        <v>1363</v>
      </c>
      <c r="AA15" s="645">
        <f>SUM(AA16:AA20)</f>
        <v>3927</v>
      </c>
      <c r="AB15" s="646">
        <f>SQRT(SUM(AB16^2)+(AB17^2)+(AB18^2)+(AB19^2)+(AB20^2))</f>
        <v>981.65370676221664</v>
      </c>
      <c r="AC15" s="643">
        <f>SUM(AC16:AC20)</f>
        <v>3013</v>
      </c>
      <c r="AD15" s="644">
        <f>SQRT(SUM(AD16^2)+(AD17^2)+(AD18^2)+(AD19^2)+(AD20^2))</f>
        <v>774.01227380449211</v>
      </c>
      <c r="AE15" s="645">
        <f>SUM(AE16:AE20)</f>
        <v>6334</v>
      </c>
      <c r="AF15" s="647">
        <f>SQRT(SUM(AF16^2)+(AF17^2)+(AF18^2)+(AF19^2)+(AF20^2))</f>
        <v>1394.0021520786831</v>
      </c>
      <c r="AH15" s="641" t="s">
        <v>479</v>
      </c>
      <c r="AI15" s="642" t="s">
        <v>438</v>
      </c>
      <c r="AJ15" s="643">
        <v>12663</v>
      </c>
      <c r="AK15" s="644">
        <v>1141</v>
      </c>
      <c r="AL15" s="645">
        <f>SUM(AL16:AL20)</f>
        <v>3007</v>
      </c>
      <c r="AM15" s="646">
        <f>SQRT(SUM(AM16^2)+(AM17^2)+(AM18^2)+(AM19^2)+(AM20^2))</f>
        <v>686.62944882957072</v>
      </c>
      <c r="AN15" s="643">
        <f>SUM(AN16:AN20)</f>
        <v>3254</v>
      </c>
      <c r="AO15" s="644">
        <f>SQRT(SUM(AO16^2)+(AO17^2)+(AO18^2)+(AO19^2)+(AO20^2))</f>
        <v>919.03971622558288</v>
      </c>
      <c r="AP15" s="645">
        <f>SUM(AP16:AP20)</f>
        <v>5745</v>
      </c>
      <c r="AQ15" s="647">
        <f>SQRT(SUM(AQ16^2)+(AQ17^2)+(AQ18^2)+(AQ19^2)+(AQ20^2))</f>
        <v>1156.6762727747121</v>
      </c>
      <c r="AS15" s="641" t="s">
        <v>479</v>
      </c>
      <c r="AT15" s="642" t="s">
        <v>438</v>
      </c>
      <c r="AU15" s="643">
        <v>14153</v>
      </c>
      <c r="AV15" s="644">
        <v>1399</v>
      </c>
      <c r="AW15" s="645">
        <f>SUM(AW16:AW20)</f>
        <v>3812</v>
      </c>
      <c r="AX15" s="646">
        <f>SQRT(SUM(AX16^2)+(AX17^2)+(AX18^2)+(AX19^2)+(AX20^2))</f>
        <v>869.98735622996264</v>
      </c>
      <c r="AY15" s="643">
        <f>SUM(AY16:AY20)</f>
        <v>2709</v>
      </c>
      <c r="AZ15" s="644">
        <f>SQRT(SUM(AZ16^2)+(AZ17^2)+(AZ18^2)+(AZ19^2)+(AZ20^2))</f>
        <v>799.39477106120728</v>
      </c>
      <c r="BA15" s="645">
        <f>SUM(BA16:BA20)</f>
        <v>6981</v>
      </c>
      <c r="BB15" s="647">
        <f>SQRT(SUM(BB16^2)+(BB17^2)+(BB18^2)+(BB19^2)+(BB20^2))</f>
        <v>1237.3176633346829</v>
      </c>
      <c r="BD15" s="648" t="s">
        <v>479</v>
      </c>
      <c r="BE15" s="649" t="s">
        <v>438</v>
      </c>
      <c r="BF15" s="650">
        <v>15008</v>
      </c>
      <c r="BG15" s="651">
        <v>1171</v>
      </c>
      <c r="BH15" s="681">
        <f>SUM(BH16:BH20)</f>
        <v>3385</v>
      </c>
      <c r="BI15" s="682">
        <f>SQRT(SUM(BI16^2)+(BI17^2)+(BI18^2)+(BI19^2)+(BI20^2))</f>
        <v>847.18238886322467</v>
      </c>
      <c r="BJ15" s="650">
        <f>SUM(BJ16:BJ20)</f>
        <v>4799</v>
      </c>
      <c r="BK15" s="651">
        <f>SQRT(SUM(BK16^2)+(BK17^2)+(BK18^2)+(BK19^2)+(BK20^2))</f>
        <v>1046.9274091358961</v>
      </c>
      <c r="BL15" s="681">
        <f>SUM(BL16:BL20)</f>
        <v>6194</v>
      </c>
      <c r="BM15" s="647">
        <f>SQRT(SUM(BM16^2)+(BM17^2)+(BM18^2)+(BM19^2)+(BM20^2))</f>
        <v>1269.006304160858</v>
      </c>
      <c r="BO15" s="648" t="s">
        <v>479</v>
      </c>
      <c r="BP15" s="642" t="s">
        <v>438</v>
      </c>
      <c r="BQ15" s="643"/>
      <c r="BR15" s="644"/>
      <c r="BS15" s="645">
        <f>SUM(BS16:BS20)</f>
        <v>0</v>
      </c>
      <c r="BT15" s="646">
        <f>SQRT(SUM(BT16^2)+(BT17^2)+(BT18^2)+(BT19^2)+(BT20^2))</f>
        <v>0</v>
      </c>
      <c r="BU15" s="643">
        <f>SUM(BU16:BU20)</f>
        <v>0</v>
      </c>
      <c r="BV15" s="644">
        <f>SQRT(SUM(BV16^2)+(BV17^2)+(BV18^2)+(BV19^2)+(BV20^2))</f>
        <v>0</v>
      </c>
      <c r="BW15" s="645">
        <f>SUM(BW16:BW20)</f>
        <v>0</v>
      </c>
      <c r="BX15" s="647">
        <f>SQRT(SUM(BX16^2)+(BX17^2)+(BX18^2)+(BX19^2)+(BX20^2))</f>
        <v>0</v>
      </c>
    </row>
    <row r="16" spans="1:76" ht="15.75">
      <c r="A16" s="652"/>
      <c r="B16" s="653" t="s">
        <v>473</v>
      </c>
      <c r="C16" s="130">
        <v>4210</v>
      </c>
      <c r="D16" s="654">
        <v>884</v>
      </c>
      <c r="E16" s="655">
        <v>85</v>
      </c>
      <c r="F16" s="656">
        <v>102</v>
      </c>
      <c r="G16" s="130">
        <v>498</v>
      </c>
      <c r="H16" s="654">
        <v>386</v>
      </c>
      <c r="I16" s="655">
        <v>3627</v>
      </c>
      <c r="J16" s="657">
        <v>774</v>
      </c>
      <c r="L16" s="683"/>
      <c r="M16" s="684" t="s">
        <v>473</v>
      </c>
      <c r="N16" s="130">
        <v>2936</v>
      </c>
      <c r="O16" s="654">
        <v>808</v>
      </c>
      <c r="P16" s="655">
        <v>0</v>
      </c>
      <c r="Q16" s="656">
        <v>145</v>
      </c>
      <c r="R16" s="130">
        <v>485</v>
      </c>
      <c r="S16" s="654">
        <v>405</v>
      </c>
      <c r="T16" s="655">
        <v>2451</v>
      </c>
      <c r="U16" s="657">
        <v>725</v>
      </c>
      <c r="W16" s="652"/>
      <c r="X16" s="653" t="s">
        <v>473</v>
      </c>
      <c r="Y16" s="130">
        <v>3359</v>
      </c>
      <c r="Z16" s="654">
        <v>1071</v>
      </c>
      <c r="AA16" s="655">
        <v>114</v>
      </c>
      <c r="AB16" s="656">
        <v>138</v>
      </c>
      <c r="AC16" s="130">
        <v>352</v>
      </c>
      <c r="AD16" s="654">
        <v>300</v>
      </c>
      <c r="AE16" s="655">
        <v>2893</v>
      </c>
      <c r="AF16" s="657">
        <v>1034</v>
      </c>
      <c r="AH16" s="652"/>
      <c r="AI16" s="653" t="s">
        <v>473</v>
      </c>
      <c r="AJ16" s="130">
        <v>3865</v>
      </c>
      <c r="AK16" s="654">
        <v>1015</v>
      </c>
      <c r="AL16" s="655">
        <v>38</v>
      </c>
      <c r="AM16" s="656">
        <v>64</v>
      </c>
      <c r="AN16" s="130">
        <v>661</v>
      </c>
      <c r="AO16" s="654">
        <v>475</v>
      </c>
      <c r="AP16" s="655">
        <v>3166</v>
      </c>
      <c r="AQ16" s="657">
        <v>928</v>
      </c>
      <c r="AS16" s="652"/>
      <c r="AT16" s="653" t="s">
        <v>473</v>
      </c>
      <c r="AU16" s="130">
        <v>3256</v>
      </c>
      <c r="AV16" s="654">
        <v>829</v>
      </c>
      <c r="AW16" s="655">
        <v>0</v>
      </c>
      <c r="AX16" s="656">
        <v>149</v>
      </c>
      <c r="AY16" s="130">
        <v>114</v>
      </c>
      <c r="AZ16" s="654">
        <v>131</v>
      </c>
      <c r="BA16" s="655">
        <v>3142</v>
      </c>
      <c r="BB16" s="657">
        <v>822</v>
      </c>
      <c r="BD16" s="658"/>
      <c r="BE16" s="659" t="s">
        <v>473</v>
      </c>
      <c r="BF16" s="660">
        <v>3517</v>
      </c>
      <c r="BG16" s="661">
        <v>930</v>
      </c>
      <c r="BH16" s="662">
        <v>98</v>
      </c>
      <c r="BI16" s="663">
        <v>117</v>
      </c>
      <c r="BJ16" s="660">
        <v>521</v>
      </c>
      <c r="BK16" s="661">
        <v>372</v>
      </c>
      <c r="BL16" s="662">
        <v>2898</v>
      </c>
      <c r="BM16" s="664">
        <v>847</v>
      </c>
      <c r="BO16" s="658"/>
      <c r="BP16" s="653" t="s">
        <v>473</v>
      </c>
      <c r="BQ16" s="130"/>
      <c r="BR16" s="654"/>
      <c r="BS16" s="655"/>
      <c r="BT16" s="656"/>
      <c r="BU16" s="130"/>
      <c r="BV16" s="654"/>
      <c r="BW16" s="655"/>
      <c r="BX16" s="657"/>
    </row>
    <row r="17" spans="1:76" ht="15.75">
      <c r="A17" s="652"/>
      <c r="B17" s="653" t="s">
        <v>474</v>
      </c>
      <c r="C17" s="130">
        <v>2251</v>
      </c>
      <c r="D17" s="654">
        <v>663</v>
      </c>
      <c r="E17" s="655">
        <v>157</v>
      </c>
      <c r="F17" s="656">
        <v>159</v>
      </c>
      <c r="G17" s="130">
        <v>349</v>
      </c>
      <c r="H17" s="654">
        <v>186</v>
      </c>
      <c r="I17" s="655">
        <v>1745</v>
      </c>
      <c r="J17" s="657">
        <v>622</v>
      </c>
      <c r="L17" s="683"/>
      <c r="M17" s="684" t="s">
        <v>474</v>
      </c>
      <c r="N17" s="130">
        <v>3519</v>
      </c>
      <c r="O17" s="654">
        <v>976</v>
      </c>
      <c r="P17" s="655">
        <v>79</v>
      </c>
      <c r="Q17" s="656">
        <v>138</v>
      </c>
      <c r="R17" s="130">
        <v>970</v>
      </c>
      <c r="S17" s="654">
        <v>538</v>
      </c>
      <c r="T17" s="655">
        <v>2470</v>
      </c>
      <c r="U17" s="657">
        <v>816</v>
      </c>
      <c r="W17" s="652"/>
      <c r="X17" s="653" t="s">
        <v>474</v>
      </c>
      <c r="Y17" s="130">
        <v>2819</v>
      </c>
      <c r="Z17" s="654">
        <v>923</v>
      </c>
      <c r="AA17" s="655">
        <v>153</v>
      </c>
      <c r="AB17" s="656">
        <v>184</v>
      </c>
      <c r="AC17" s="130">
        <v>600</v>
      </c>
      <c r="AD17" s="654">
        <v>377</v>
      </c>
      <c r="AE17" s="655">
        <v>2066</v>
      </c>
      <c r="AF17" s="657">
        <v>800</v>
      </c>
      <c r="AH17" s="652"/>
      <c r="AI17" s="653" t="s">
        <v>474</v>
      </c>
      <c r="AJ17" s="130">
        <v>2608</v>
      </c>
      <c r="AK17" s="654">
        <v>647</v>
      </c>
      <c r="AL17" s="655">
        <v>92</v>
      </c>
      <c r="AM17" s="656">
        <v>109</v>
      </c>
      <c r="AN17" s="130">
        <v>816</v>
      </c>
      <c r="AO17" s="654">
        <v>500</v>
      </c>
      <c r="AP17" s="655">
        <v>1700</v>
      </c>
      <c r="AQ17" s="657">
        <v>579</v>
      </c>
      <c r="AS17" s="652"/>
      <c r="AT17" s="653" t="s">
        <v>474</v>
      </c>
      <c r="AU17" s="130">
        <v>3272</v>
      </c>
      <c r="AV17" s="654">
        <v>794</v>
      </c>
      <c r="AW17" s="655">
        <v>165</v>
      </c>
      <c r="AX17" s="656">
        <v>159</v>
      </c>
      <c r="AY17" s="130">
        <v>742</v>
      </c>
      <c r="AZ17" s="654">
        <v>505</v>
      </c>
      <c r="BA17" s="655">
        <v>2365</v>
      </c>
      <c r="BB17" s="657">
        <v>685</v>
      </c>
      <c r="BD17" s="658"/>
      <c r="BE17" s="659" t="s">
        <v>474</v>
      </c>
      <c r="BF17" s="660">
        <v>2474</v>
      </c>
      <c r="BG17" s="661">
        <v>1040</v>
      </c>
      <c r="BH17" s="662">
        <v>87</v>
      </c>
      <c r="BI17" s="663">
        <v>110</v>
      </c>
      <c r="BJ17" s="660">
        <v>851</v>
      </c>
      <c r="BK17" s="661">
        <v>588</v>
      </c>
      <c r="BL17" s="662">
        <v>1536</v>
      </c>
      <c r="BM17" s="664">
        <v>752</v>
      </c>
      <c r="BO17" s="658"/>
      <c r="BP17" s="653" t="s">
        <v>474</v>
      </c>
      <c r="BQ17" s="130"/>
      <c r="BR17" s="654"/>
      <c r="BS17" s="655"/>
      <c r="BT17" s="656"/>
      <c r="BU17" s="130"/>
      <c r="BV17" s="654"/>
      <c r="BW17" s="655"/>
      <c r="BX17" s="657"/>
    </row>
    <row r="18" spans="1:76" ht="15.75">
      <c r="A18" s="652"/>
      <c r="B18" s="653" t="s">
        <v>475</v>
      </c>
      <c r="C18" s="130">
        <v>2347</v>
      </c>
      <c r="D18" s="654">
        <v>707</v>
      </c>
      <c r="E18" s="655">
        <v>511</v>
      </c>
      <c r="F18" s="656">
        <v>360</v>
      </c>
      <c r="G18" s="130">
        <v>1040</v>
      </c>
      <c r="H18" s="654">
        <v>399</v>
      </c>
      <c r="I18" s="655">
        <v>796</v>
      </c>
      <c r="J18" s="657">
        <v>494</v>
      </c>
      <c r="L18" s="683"/>
      <c r="M18" s="684" t="s">
        <v>475</v>
      </c>
      <c r="N18" s="130">
        <v>1785</v>
      </c>
      <c r="O18" s="654">
        <v>512</v>
      </c>
      <c r="P18" s="655">
        <v>561</v>
      </c>
      <c r="Q18" s="656">
        <v>334</v>
      </c>
      <c r="R18" s="130">
        <v>814</v>
      </c>
      <c r="S18" s="654">
        <v>316</v>
      </c>
      <c r="T18" s="655">
        <v>410</v>
      </c>
      <c r="U18" s="657">
        <v>260</v>
      </c>
      <c r="W18" s="652"/>
      <c r="X18" s="653" t="s">
        <v>475</v>
      </c>
      <c r="Y18" s="130">
        <v>1749</v>
      </c>
      <c r="Z18" s="654">
        <v>599</v>
      </c>
      <c r="AA18" s="655">
        <v>314</v>
      </c>
      <c r="AB18" s="656">
        <v>238</v>
      </c>
      <c r="AC18" s="130">
        <v>898</v>
      </c>
      <c r="AD18" s="654">
        <v>407</v>
      </c>
      <c r="AE18" s="655">
        <v>537</v>
      </c>
      <c r="AF18" s="657">
        <v>339</v>
      </c>
      <c r="AH18" s="652"/>
      <c r="AI18" s="653" t="s">
        <v>475</v>
      </c>
      <c r="AJ18" s="130">
        <v>1430</v>
      </c>
      <c r="AK18" s="654">
        <v>554</v>
      </c>
      <c r="AL18" s="655">
        <v>169</v>
      </c>
      <c r="AM18" s="656">
        <v>213</v>
      </c>
      <c r="AN18" s="130">
        <v>665</v>
      </c>
      <c r="AO18" s="654">
        <v>442</v>
      </c>
      <c r="AP18" s="655">
        <v>596</v>
      </c>
      <c r="AQ18" s="657">
        <v>335</v>
      </c>
      <c r="AS18" s="652"/>
      <c r="AT18" s="653" t="s">
        <v>475</v>
      </c>
      <c r="AU18" s="130">
        <v>2424</v>
      </c>
      <c r="AV18" s="654">
        <v>684</v>
      </c>
      <c r="AW18" s="655">
        <v>478</v>
      </c>
      <c r="AX18" s="656">
        <v>328</v>
      </c>
      <c r="AY18" s="130">
        <v>989</v>
      </c>
      <c r="AZ18" s="654">
        <v>454</v>
      </c>
      <c r="BA18" s="655">
        <v>957</v>
      </c>
      <c r="BB18" s="657">
        <v>431</v>
      </c>
      <c r="BD18" s="658"/>
      <c r="BE18" s="659" t="s">
        <v>475</v>
      </c>
      <c r="BF18" s="660">
        <v>1547</v>
      </c>
      <c r="BG18" s="661">
        <v>556</v>
      </c>
      <c r="BH18" s="662">
        <v>172</v>
      </c>
      <c r="BI18" s="663">
        <v>167</v>
      </c>
      <c r="BJ18" s="660">
        <v>576</v>
      </c>
      <c r="BK18" s="661">
        <v>348</v>
      </c>
      <c r="BL18" s="662">
        <v>799</v>
      </c>
      <c r="BM18" s="664">
        <v>406</v>
      </c>
      <c r="BO18" s="658"/>
      <c r="BP18" s="653" t="s">
        <v>475</v>
      </c>
      <c r="BQ18" s="130"/>
      <c r="BR18" s="654"/>
      <c r="BS18" s="655"/>
      <c r="BT18" s="656"/>
      <c r="BU18" s="130"/>
      <c r="BV18" s="654"/>
      <c r="BW18" s="655"/>
      <c r="BX18" s="657"/>
    </row>
    <row r="19" spans="1:76" ht="15.75">
      <c r="A19" s="652"/>
      <c r="B19" s="653" t="s">
        <v>476</v>
      </c>
      <c r="C19" s="130">
        <v>1976</v>
      </c>
      <c r="D19" s="654">
        <v>610</v>
      </c>
      <c r="E19" s="655">
        <v>1378</v>
      </c>
      <c r="F19" s="656">
        <v>532</v>
      </c>
      <c r="G19" s="130">
        <v>416</v>
      </c>
      <c r="H19" s="654">
        <v>288</v>
      </c>
      <c r="I19" s="655">
        <v>182</v>
      </c>
      <c r="J19" s="657">
        <v>237</v>
      </c>
      <c r="L19" s="683"/>
      <c r="M19" s="684" t="s">
        <v>476</v>
      </c>
      <c r="N19" s="130">
        <v>2023</v>
      </c>
      <c r="O19" s="654">
        <v>627</v>
      </c>
      <c r="P19" s="655">
        <v>688</v>
      </c>
      <c r="Q19" s="656">
        <v>382</v>
      </c>
      <c r="R19" s="130">
        <v>995</v>
      </c>
      <c r="S19" s="654">
        <v>410</v>
      </c>
      <c r="T19" s="655">
        <v>340</v>
      </c>
      <c r="U19" s="657">
        <v>228</v>
      </c>
      <c r="W19" s="652"/>
      <c r="X19" s="653" t="s">
        <v>476</v>
      </c>
      <c r="Y19" s="130">
        <v>2456</v>
      </c>
      <c r="Z19" s="654">
        <v>546</v>
      </c>
      <c r="AA19" s="655">
        <v>949</v>
      </c>
      <c r="AB19" s="656">
        <v>372</v>
      </c>
      <c r="AC19" s="130">
        <v>923</v>
      </c>
      <c r="AD19" s="654">
        <v>406</v>
      </c>
      <c r="AE19" s="655">
        <v>584</v>
      </c>
      <c r="AF19" s="657">
        <v>277</v>
      </c>
      <c r="AH19" s="652"/>
      <c r="AI19" s="653" t="s">
        <v>476</v>
      </c>
      <c r="AJ19" s="130">
        <v>2008</v>
      </c>
      <c r="AK19" s="654">
        <v>597</v>
      </c>
      <c r="AL19" s="655">
        <v>827</v>
      </c>
      <c r="AM19" s="656">
        <v>355</v>
      </c>
      <c r="AN19" s="130">
        <v>936</v>
      </c>
      <c r="AO19" s="654">
        <v>403</v>
      </c>
      <c r="AP19" s="655">
        <v>245</v>
      </c>
      <c r="AQ19" s="657">
        <v>159</v>
      </c>
      <c r="AS19" s="652"/>
      <c r="AT19" s="653" t="s">
        <v>476</v>
      </c>
      <c r="AU19" s="130">
        <v>1777</v>
      </c>
      <c r="AV19" s="654">
        <v>546</v>
      </c>
      <c r="AW19" s="655">
        <v>764</v>
      </c>
      <c r="AX19" s="656">
        <v>366</v>
      </c>
      <c r="AY19" s="130">
        <v>496</v>
      </c>
      <c r="AZ19" s="654">
        <v>253</v>
      </c>
      <c r="BA19" s="655">
        <v>517</v>
      </c>
      <c r="BB19" s="657">
        <v>422</v>
      </c>
      <c r="BD19" s="658"/>
      <c r="BE19" s="659" t="s">
        <v>476</v>
      </c>
      <c r="BF19" s="660">
        <v>3573</v>
      </c>
      <c r="BG19" s="661">
        <v>835</v>
      </c>
      <c r="BH19" s="662">
        <v>837</v>
      </c>
      <c r="BI19" s="663">
        <v>446</v>
      </c>
      <c r="BJ19" s="660">
        <v>2116</v>
      </c>
      <c r="BK19" s="661">
        <v>612</v>
      </c>
      <c r="BL19" s="662">
        <v>620</v>
      </c>
      <c r="BM19" s="664">
        <v>318</v>
      </c>
      <c r="BO19" s="658"/>
      <c r="BP19" s="653" t="s">
        <v>476</v>
      </c>
      <c r="BQ19" s="130"/>
      <c r="BR19" s="654"/>
      <c r="BS19" s="655"/>
      <c r="BT19" s="656"/>
      <c r="BU19" s="130"/>
      <c r="BV19" s="654"/>
      <c r="BW19" s="655"/>
      <c r="BX19" s="657"/>
    </row>
    <row r="20" spans="1:76" ht="15.75">
      <c r="A20" s="652"/>
      <c r="B20" s="653" t="s">
        <v>477</v>
      </c>
      <c r="C20" s="130">
        <v>1836</v>
      </c>
      <c r="D20" s="654">
        <v>628</v>
      </c>
      <c r="E20" s="655">
        <v>1541</v>
      </c>
      <c r="F20" s="656">
        <v>619</v>
      </c>
      <c r="G20" s="130">
        <v>212</v>
      </c>
      <c r="H20" s="654">
        <v>185</v>
      </c>
      <c r="I20" s="655">
        <v>83</v>
      </c>
      <c r="J20" s="657">
        <v>97</v>
      </c>
      <c r="L20" s="683"/>
      <c r="M20" s="684" t="s">
        <v>477</v>
      </c>
      <c r="N20" s="130">
        <v>2097</v>
      </c>
      <c r="O20" s="654">
        <v>647</v>
      </c>
      <c r="P20" s="655">
        <v>1866</v>
      </c>
      <c r="Q20" s="656">
        <v>618</v>
      </c>
      <c r="R20" s="130">
        <v>156</v>
      </c>
      <c r="S20" s="654">
        <v>131</v>
      </c>
      <c r="T20" s="655">
        <v>75</v>
      </c>
      <c r="U20" s="657">
        <v>135</v>
      </c>
      <c r="W20" s="652"/>
      <c r="X20" s="653" t="s">
        <v>477</v>
      </c>
      <c r="Y20" s="130">
        <v>2891</v>
      </c>
      <c r="Z20" s="654">
        <v>870</v>
      </c>
      <c r="AA20" s="655">
        <v>2397</v>
      </c>
      <c r="AB20" s="656">
        <v>846</v>
      </c>
      <c r="AC20" s="130">
        <v>240</v>
      </c>
      <c r="AD20" s="654">
        <v>191</v>
      </c>
      <c r="AE20" s="655">
        <v>254</v>
      </c>
      <c r="AF20" s="657">
        <v>206</v>
      </c>
      <c r="AH20" s="652"/>
      <c r="AI20" s="653" t="s">
        <v>477</v>
      </c>
      <c r="AJ20" s="130">
        <v>2095</v>
      </c>
      <c r="AK20" s="654">
        <v>523</v>
      </c>
      <c r="AL20" s="655">
        <v>1881</v>
      </c>
      <c r="AM20" s="656">
        <v>533</v>
      </c>
      <c r="AN20" s="130">
        <v>176</v>
      </c>
      <c r="AO20" s="654">
        <v>106</v>
      </c>
      <c r="AP20" s="655">
        <v>38</v>
      </c>
      <c r="AQ20" s="657">
        <v>63</v>
      </c>
      <c r="AS20" s="652"/>
      <c r="AT20" s="653" t="s">
        <v>477</v>
      </c>
      <c r="AU20" s="130">
        <v>2773</v>
      </c>
      <c r="AV20" s="654">
        <v>727</v>
      </c>
      <c r="AW20" s="655">
        <v>2405</v>
      </c>
      <c r="AX20" s="656">
        <v>684</v>
      </c>
      <c r="AY20" s="130">
        <v>368</v>
      </c>
      <c r="AZ20" s="654">
        <v>311</v>
      </c>
      <c r="BA20" s="655">
        <v>0</v>
      </c>
      <c r="BB20" s="657">
        <v>149</v>
      </c>
      <c r="BD20" s="658"/>
      <c r="BE20" s="659" t="s">
        <v>477</v>
      </c>
      <c r="BF20" s="660">
        <v>3267</v>
      </c>
      <c r="BG20" s="661">
        <v>814</v>
      </c>
      <c r="BH20" s="662">
        <v>2191</v>
      </c>
      <c r="BI20" s="663">
        <v>682</v>
      </c>
      <c r="BJ20" s="660">
        <v>735</v>
      </c>
      <c r="BK20" s="661">
        <v>341</v>
      </c>
      <c r="BL20" s="662">
        <v>341</v>
      </c>
      <c r="BM20" s="664">
        <v>248</v>
      </c>
      <c r="BO20" s="658"/>
      <c r="BP20" s="653" t="s">
        <v>477</v>
      </c>
      <c r="BQ20" s="130"/>
      <c r="BR20" s="654"/>
      <c r="BS20" s="655"/>
      <c r="BT20" s="656"/>
      <c r="BU20" s="130"/>
      <c r="BV20" s="654"/>
      <c r="BW20" s="655"/>
      <c r="BX20" s="657"/>
    </row>
    <row r="21" spans="1:76" ht="16.5" thickBot="1">
      <c r="A21" s="652"/>
      <c r="B21" s="666" t="s">
        <v>478</v>
      </c>
      <c r="C21" s="141">
        <v>94</v>
      </c>
      <c r="D21" s="685">
        <v>111</v>
      </c>
      <c r="E21" s="686"/>
      <c r="F21" s="687"/>
      <c r="G21" s="141"/>
      <c r="H21" s="685"/>
      <c r="I21" s="686"/>
      <c r="J21" s="688"/>
      <c r="L21" s="683"/>
      <c r="M21" s="684" t="s">
        <v>478</v>
      </c>
      <c r="N21" s="141">
        <v>290</v>
      </c>
      <c r="O21" s="685">
        <v>243</v>
      </c>
      <c r="P21" s="686"/>
      <c r="Q21" s="687"/>
      <c r="R21" s="141"/>
      <c r="S21" s="685"/>
      <c r="T21" s="686"/>
      <c r="U21" s="688"/>
      <c r="W21" s="652"/>
      <c r="X21" s="666" t="s">
        <v>478</v>
      </c>
      <c r="Y21" s="141">
        <v>333</v>
      </c>
      <c r="Z21" s="685">
        <v>423</v>
      </c>
      <c r="AA21" s="686"/>
      <c r="AB21" s="687"/>
      <c r="AC21" s="141"/>
      <c r="AD21" s="685"/>
      <c r="AE21" s="686"/>
      <c r="AF21" s="688"/>
      <c r="AH21" s="652"/>
      <c r="AI21" s="666" t="s">
        <v>478</v>
      </c>
      <c r="AJ21" s="141">
        <v>344</v>
      </c>
      <c r="AK21" s="685">
        <v>270</v>
      </c>
      <c r="AL21" s="686"/>
      <c r="AM21" s="687"/>
      <c r="AN21" s="141"/>
      <c r="AO21" s="685"/>
      <c r="AP21" s="686"/>
      <c r="AQ21" s="688"/>
      <c r="AS21" s="652"/>
      <c r="AT21" s="666" t="s">
        <v>478</v>
      </c>
      <c r="AU21" s="141">
        <v>352</v>
      </c>
      <c r="AV21" s="685">
        <v>327</v>
      </c>
      <c r="AW21" s="686"/>
      <c r="AX21" s="687"/>
      <c r="AY21" s="141"/>
      <c r="AZ21" s="685"/>
      <c r="BA21" s="686"/>
      <c r="BB21" s="688"/>
      <c r="BD21" s="658"/>
      <c r="BE21" s="673" t="s">
        <v>478</v>
      </c>
      <c r="BF21" s="689">
        <v>187</v>
      </c>
      <c r="BG21" s="690">
        <v>160</v>
      </c>
      <c r="BH21" s="691"/>
      <c r="BI21" s="692"/>
      <c r="BJ21" s="689"/>
      <c r="BK21" s="690"/>
      <c r="BL21" s="691"/>
      <c r="BM21" s="693"/>
      <c r="BO21" s="658"/>
      <c r="BP21" s="666" t="s">
        <v>478</v>
      </c>
      <c r="BQ21" s="141"/>
      <c r="BR21" s="685"/>
      <c r="BS21" s="686"/>
      <c r="BT21" s="687"/>
      <c r="BU21" s="141"/>
      <c r="BV21" s="685"/>
      <c r="BW21" s="686"/>
      <c r="BX21" s="688"/>
    </row>
    <row r="22" spans="1:76" ht="16.5" thickBot="1">
      <c r="A22" s="665"/>
      <c r="B22" s="666" t="s">
        <v>480</v>
      </c>
      <c r="C22" s="667">
        <v>171</v>
      </c>
      <c r="D22" s="668">
        <v>142</v>
      </c>
      <c r="E22" s="669"/>
      <c r="F22" s="670"/>
      <c r="G22" s="667"/>
      <c r="H22" s="668"/>
      <c r="I22" s="669"/>
      <c r="J22" s="671"/>
      <c r="L22" s="694"/>
      <c r="M22" s="695" t="s">
        <v>480</v>
      </c>
      <c r="N22" s="667">
        <v>354</v>
      </c>
      <c r="O22" s="668">
        <v>241</v>
      </c>
      <c r="P22" s="669"/>
      <c r="Q22" s="670"/>
      <c r="R22" s="667"/>
      <c r="S22" s="668"/>
      <c r="T22" s="669"/>
      <c r="U22" s="671"/>
      <c r="W22" s="665"/>
      <c r="X22" s="666" t="s">
        <v>480</v>
      </c>
      <c r="Y22" s="667">
        <v>375</v>
      </c>
      <c r="Z22" s="668">
        <v>264</v>
      </c>
      <c r="AA22" s="669"/>
      <c r="AB22" s="670"/>
      <c r="AC22" s="667"/>
      <c r="AD22" s="668"/>
      <c r="AE22" s="669"/>
      <c r="AF22" s="671"/>
      <c r="AH22" s="665"/>
      <c r="AI22" s="666" t="s">
        <v>480</v>
      </c>
      <c r="AJ22" s="667">
        <v>313</v>
      </c>
      <c r="AK22" s="668">
        <v>398</v>
      </c>
      <c r="AL22" s="669"/>
      <c r="AM22" s="670"/>
      <c r="AN22" s="667"/>
      <c r="AO22" s="668"/>
      <c r="AP22" s="669"/>
      <c r="AQ22" s="671"/>
      <c r="AS22" s="665"/>
      <c r="AT22" s="666" t="s">
        <v>480</v>
      </c>
      <c r="AU22" s="667">
        <v>299</v>
      </c>
      <c r="AV22" s="668">
        <v>222</v>
      </c>
      <c r="AW22" s="669"/>
      <c r="AX22" s="670"/>
      <c r="AY22" s="667"/>
      <c r="AZ22" s="668"/>
      <c r="BA22" s="669"/>
      <c r="BB22" s="671"/>
      <c r="BD22" s="672"/>
      <c r="BE22" s="696" t="s">
        <v>480</v>
      </c>
      <c r="BF22" s="697">
        <v>443</v>
      </c>
      <c r="BG22" s="261">
        <v>315</v>
      </c>
      <c r="BH22" s="698"/>
      <c r="BI22" s="699"/>
      <c r="BJ22" s="697"/>
      <c r="BK22" s="261"/>
      <c r="BL22" s="698"/>
      <c r="BM22" s="700"/>
      <c r="BO22" s="672"/>
      <c r="BP22" s="666" t="s">
        <v>480</v>
      </c>
      <c r="BQ22" s="667"/>
      <c r="BR22" s="668"/>
      <c r="BS22" s="669"/>
      <c r="BT22" s="670"/>
      <c r="BU22" s="667"/>
      <c r="BV22" s="668"/>
      <c r="BW22" s="669"/>
      <c r="BX22" s="671"/>
    </row>
    <row r="25" spans="1:76">
      <c r="E25" s="913" t="s">
        <v>481</v>
      </c>
      <c r="F25" s="913"/>
      <c r="G25" s="913"/>
      <c r="H25" s="913" t="s">
        <v>482</v>
      </c>
      <c r="I25" s="913"/>
      <c r="J25" s="913"/>
    </row>
    <row r="26" spans="1:76">
      <c r="C26" s="143" t="s">
        <v>483</v>
      </c>
      <c r="D26" s="143" t="s">
        <v>468</v>
      </c>
      <c r="E26" s="143" t="s">
        <v>484</v>
      </c>
      <c r="F26" s="143" t="s">
        <v>485</v>
      </c>
      <c r="G26" s="143" t="s">
        <v>486</v>
      </c>
      <c r="H26" s="143" t="s">
        <v>487</v>
      </c>
      <c r="I26" s="143" t="s">
        <v>488</v>
      </c>
      <c r="J26" s="143" t="s">
        <v>489</v>
      </c>
    </row>
    <row r="27" spans="1:76">
      <c r="C27" s="143">
        <v>2012</v>
      </c>
      <c r="D27" s="143">
        <v>43101</v>
      </c>
      <c r="E27" s="143">
        <v>21112</v>
      </c>
      <c r="F27" s="143">
        <v>10523</v>
      </c>
      <c r="G27" s="143">
        <v>11087</v>
      </c>
      <c r="H27" s="701">
        <f t="shared" ref="H27:H32" si="0">E27/D27</f>
        <v>0.48982622212941695</v>
      </c>
      <c r="I27" s="701">
        <f t="shared" ref="I27:I32" si="1">F27/D27</f>
        <v>0.24414746757615832</v>
      </c>
      <c r="J27" s="701">
        <f t="shared" ref="J27:J32" si="2">G27/D27</f>
        <v>0.25723301083501543</v>
      </c>
    </row>
    <row r="28" spans="1:76">
      <c r="C28" s="143">
        <v>2013</v>
      </c>
      <c r="D28" s="143">
        <v>43712</v>
      </c>
      <c r="E28" s="143">
        <v>21710</v>
      </c>
      <c r="F28" s="143">
        <v>10787</v>
      </c>
      <c r="G28" s="143">
        <v>10342</v>
      </c>
      <c r="H28" s="701">
        <f t="shared" si="0"/>
        <v>0.49665995607613472</v>
      </c>
      <c r="I28" s="701">
        <f t="shared" si="1"/>
        <v>0.24677434114202049</v>
      </c>
      <c r="J28" s="701">
        <f t="shared" si="2"/>
        <v>0.23659407027818449</v>
      </c>
    </row>
    <row r="29" spans="1:76">
      <c r="C29" s="143">
        <v>2014</v>
      </c>
      <c r="D29" s="143">
        <v>44661</v>
      </c>
      <c r="E29" s="143">
        <v>23100</v>
      </c>
      <c r="F29" s="143">
        <v>9753</v>
      </c>
      <c r="G29" s="143">
        <v>11100</v>
      </c>
      <c r="H29" s="701">
        <f t="shared" si="0"/>
        <v>0.51722979781016998</v>
      </c>
      <c r="I29" s="701">
        <f t="shared" si="1"/>
        <v>0.2183784509975146</v>
      </c>
      <c r="J29" s="701">
        <f t="shared" si="2"/>
        <v>0.24853899375293881</v>
      </c>
    </row>
    <row r="30" spans="1:76">
      <c r="C30" s="143">
        <v>2015</v>
      </c>
      <c r="D30" s="143">
        <v>43018</v>
      </c>
      <c r="E30" s="143">
        <v>22590</v>
      </c>
      <c r="F30" s="143">
        <v>11471</v>
      </c>
      <c r="G30" s="143">
        <v>10732</v>
      </c>
      <c r="H30" s="701">
        <f t="shared" si="0"/>
        <v>0.52512901576084425</v>
      </c>
      <c r="I30" s="701">
        <f t="shared" si="1"/>
        <v>0.26665581849458364</v>
      </c>
      <c r="J30" s="701">
        <f t="shared" si="2"/>
        <v>0.2494769631317123</v>
      </c>
    </row>
    <row r="31" spans="1:76">
      <c r="C31" s="143">
        <v>2016</v>
      </c>
      <c r="D31" s="143">
        <v>46478</v>
      </c>
      <c r="E31" s="143">
        <v>24356</v>
      </c>
      <c r="F31" s="143">
        <v>9559</v>
      </c>
      <c r="G31" s="143">
        <v>11770</v>
      </c>
      <c r="H31" s="701">
        <f t="shared" si="0"/>
        <v>0.52403287576918112</v>
      </c>
      <c r="I31" s="701">
        <f t="shared" si="1"/>
        <v>0.20566719738370842</v>
      </c>
      <c r="J31" s="701">
        <f t="shared" si="2"/>
        <v>0.25323809113989415</v>
      </c>
    </row>
    <row r="32" spans="1:76">
      <c r="C32" s="143">
        <v>2017</v>
      </c>
      <c r="D32" s="143">
        <v>46645</v>
      </c>
      <c r="E32" s="143">
        <v>24732</v>
      </c>
      <c r="F32" s="143">
        <v>10632</v>
      </c>
      <c r="G32" s="143">
        <v>10596</v>
      </c>
      <c r="H32" s="701">
        <f t="shared" si="0"/>
        <v>0.53021760102904925</v>
      </c>
      <c r="I32" s="701">
        <f t="shared" si="1"/>
        <v>0.22793439811340979</v>
      </c>
      <c r="J32" s="701">
        <f t="shared" si="2"/>
        <v>0.2271626112123486</v>
      </c>
    </row>
    <row r="34" spans="3:10">
      <c r="H34" s="913" t="s">
        <v>482</v>
      </c>
      <c r="I34" s="913"/>
      <c r="J34" s="913"/>
    </row>
    <row r="35" spans="3:10">
      <c r="C35" s="143" t="s">
        <v>490</v>
      </c>
      <c r="D35" s="143" t="s">
        <v>468</v>
      </c>
      <c r="E35" s="143" t="s">
        <v>484</v>
      </c>
      <c r="F35" s="143" t="s">
        <v>485</v>
      </c>
      <c r="G35" s="143" t="s">
        <v>486</v>
      </c>
      <c r="H35" s="143" t="s">
        <v>487</v>
      </c>
      <c r="I35" s="143" t="s">
        <v>488</v>
      </c>
      <c r="J35" s="143" t="s">
        <v>489</v>
      </c>
    </row>
    <row r="36" spans="3:10">
      <c r="C36" s="143">
        <v>2012</v>
      </c>
      <c r="D36" s="143">
        <v>30216</v>
      </c>
      <c r="E36" s="143">
        <v>17440</v>
      </c>
      <c r="F36" s="143">
        <v>8008</v>
      </c>
      <c r="G36" s="143">
        <v>4654</v>
      </c>
      <c r="H36" s="701">
        <f t="shared" ref="H36:H41" si="3">E36/D36</f>
        <v>0.57717765422292822</v>
      </c>
      <c r="I36" s="701">
        <f t="shared" ref="I36:I41" si="4">F36/D36</f>
        <v>0.26502515223722534</v>
      </c>
      <c r="J36" s="701">
        <f t="shared" ref="J36:J41" si="5">G36/D36</f>
        <v>0.15402435795604977</v>
      </c>
    </row>
    <row r="37" spans="3:10">
      <c r="C37" s="143">
        <v>2013</v>
      </c>
      <c r="D37" s="143">
        <v>30708</v>
      </c>
      <c r="E37" s="143">
        <v>18516</v>
      </c>
      <c r="F37" s="143">
        <v>7367</v>
      </c>
      <c r="G37" s="143">
        <v>4596</v>
      </c>
      <c r="H37" s="701">
        <f t="shared" si="3"/>
        <v>0.60296991012114109</v>
      </c>
      <c r="I37" s="701">
        <f t="shared" si="4"/>
        <v>0.23990491077243714</v>
      </c>
      <c r="J37" s="701">
        <f t="shared" si="5"/>
        <v>0.14966783899960923</v>
      </c>
    </row>
    <row r="38" spans="3:10">
      <c r="C38" s="143">
        <v>2014</v>
      </c>
      <c r="D38" s="143">
        <v>30679</v>
      </c>
      <c r="E38" s="143">
        <v>19173</v>
      </c>
      <c r="F38" s="143">
        <v>6740</v>
      </c>
      <c r="G38" s="143">
        <v>4766</v>
      </c>
      <c r="H38" s="701">
        <f t="shared" si="3"/>
        <v>0.62495518106848336</v>
      </c>
      <c r="I38" s="701">
        <f t="shared" si="4"/>
        <v>0.2196942533980899</v>
      </c>
      <c r="J38" s="701">
        <f t="shared" si="5"/>
        <v>0.15535056553342677</v>
      </c>
    </row>
    <row r="39" spans="3:10">
      <c r="C39" s="143">
        <v>2015</v>
      </c>
      <c r="D39" s="143">
        <v>30355</v>
      </c>
      <c r="E39" s="143">
        <v>19583</v>
      </c>
      <c r="F39" s="143">
        <v>8217</v>
      </c>
      <c r="G39" s="143">
        <v>4987</v>
      </c>
      <c r="H39" s="701">
        <f t="shared" si="3"/>
        <v>0.64513259759512431</v>
      </c>
      <c r="I39" s="701">
        <f t="shared" si="4"/>
        <v>0.27069675506506341</v>
      </c>
      <c r="J39" s="701">
        <f t="shared" si="5"/>
        <v>0.16428924394663152</v>
      </c>
    </row>
    <row r="40" spans="3:10">
      <c r="C40" s="143">
        <v>2016</v>
      </c>
      <c r="D40" s="143">
        <v>32325</v>
      </c>
      <c r="E40" s="143">
        <v>20544</v>
      </c>
      <c r="F40" s="143">
        <v>6850</v>
      </c>
      <c r="G40" s="143">
        <v>4789</v>
      </c>
      <c r="H40" s="701">
        <f t="shared" si="3"/>
        <v>0.63554524361948961</v>
      </c>
      <c r="I40" s="701">
        <f t="shared" si="4"/>
        <v>0.21191028615622584</v>
      </c>
      <c r="J40" s="701">
        <f t="shared" si="5"/>
        <v>0.14815158546017015</v>
      </c>
    </row>
    <row r="41" spans="3:10">
      <c r="C41" s="143">
        <v>2017</v>
      </c>
      <c r="D41" s="143">
        <v>31637</v>
      </c>
      <c r="E41" s="143">
        <v>21347</v>
      </c>
      <c r="F41" s="143">
        <v>5833</v>
      </c>
      <c r="G41" s="143">
        <v>4402</v>
      </c>
      <c r="H41" s="701">
        <f t="shared" si="3"/>
        <v>0.67474792173720644</v>
      </c>
      <c r="I41" s="701">
        <f t="shared" si="4"/>
        <v>0.1843727281347789</v>
      </c>
      <c r="J41" s="701">
        <f t="shared" si="5"/>
        <v>0.13914087935012801</v>
      </c>
    </row>
    <row r="43" spans="3:10">
      <c r="H43" s="913" t="s">
        <v>491</v>
      </c>
      <c r="I43" s="913"/>
      <c r="J43" s="913"/>
    </row>
    <row r="44" spans="3:10">
      <c r="C44" s="143" t="s">
        <v>492</v>
      </c>
      <c r="D44" s="143" t="s">
        <v>468</v>
      </c>
      <c r="E44" s="143" t="s">
        <v>484</v>
      </c>
      <c r="F44" s="143" t="s">
        <v>485</v>
      </c>
      <c r="G44" s="143" t="s">
        <v>486</v>
      </c>
      <c r="H44" s="143" t="s">
        <v>487</v>
      </c>
      <c r="I44" s="143" t="s">
        <v>488</v>
      </c>
      <c r="J44" s="143" t="s">
        <v>489</v>
      </c>
    </row>
    <row r="45" spans="3:10">
      <c r="C45" s="143">
        <v>2012</v>
      </c>
      <c r="D45" s="143">
        <v>12885</v>
      </c>
      <c r="E45" s="143">
        <v>3672</v>
      </c>
      <c r="F45" s="143">
        <v>2515</v>
      </c>
      <c r="G45" s="143">
        <v>6433</v>
      </c>
      <c r="H45" s="701">
        <f t="shared" ref="H45:H50" si="6">E45/D45</f>
        <v>0.28498253783469152</v>
      </c>
      <c r="I45" s="701">
        <f t="shared" ref="I45:I50" si="7">F45/D45</f>
        <v>0.19518820333721382</v>
      </c>
      <c r="J45" s="701">
        <f t="shared" ref="J45:J50" si="8">G45/D45</f>
        <v>0.49926270857586341</v>
      </c>
    </row>
    <row r="46" spans="3:10">
      <c r="C46" s="143">
        <v>2013</v>
      </c>
      <c r="D46" s="143">
        <v>13004</v>
      </c>
      <c r="E46" s="143">
        <v>3194</v>
      </c>
      <c r="F46" s="143">
        <v>3420</v>
      </c>
      <c r="G46" s="143">
        <v>5746</v>
      </c>
      <c r="H46" s="701">
        <f t="shared" si="6"/>
        <v>0.24561673331282682</v>
      </c>
      <c r="I46" s="701">
        <f t="shared" si="7"/>
        <v>0.26299600123039063</v>
      </c>
      <c r="J46" s="701">
        <f t="shared" si="8"/>
        <v>0.44186404183328204</v>
      </c>
    </row>
    <row r="47" spans="3:10">
      <c r="C47" s="143">
        <v>2014</v>
      </c>
      <c r="D47" s="143">
        <v>13982</v>
      </c>
      <c r="E47" s="143">
        <v>3927</v>
      </c>
      <c r="F47" s="143">
        <v>3013</v>
      </c>
      <c r="G47" s="143">
        <v>6334</v>
      </c>
      <c r="H47" s="701">
        <f t="shared" si="6"/>
        <v>0.28086110713774853</v>
      </c>
      <c r="I47" s="701">
        <f t="shared" si="7"/>
        <v>0.21549134601630668</v>
      </c>
      <c r="J47" s="701">
        <f t="shared" si="8"/>
        <v>0.45301101416106421</v>
      </c>
    </row>
    <row r="48" spans="3:10">
      <c r="C48" s="143">
        <v>2015</v>
      </c>
      <c r="D48" s="143">
        <v>12663</v>
      </c>
      <c r="E48" s="143">
        <v>3007</v>
      </c>
      <c r="F48" s="143">
        <v>3254</v>
      </c>
      <c r="G48" s="143">
        <v>5745</v>
      </c>
      <c r="H48" s="701">
        <f t="shared" si="6"/>
        <v>0.23746347626944642</v>
      </c>
      <c r="I48" s="701">
        <f t="shared" si="7"/>
        <v>0.25696912264076444</v>
      </c>
      <c r="J48" s="701">
        <f t="shared" si="8"/>
        <v>0.45368396114664772</v>
      </c>
    </row>
    <row r="49" spans="3:10">
      <c r="C49" s="143">
        <v>2016</v>
      </c>
      <c r="D49" s="143">
        <v>14153</v>
      </c>
      <c r="E49" s="143">
        <v>3812</v>
      </c>
      <c r="F49" s="143">
        <v>2709</v>
      </c>
      <c r="G49" s="143">
        <v>6981</v>
      </c>
      <c r="H49" s="701">
        <f t="shared" si="6"/>
        <v>0.26934218893520806</v>
      </c>
      <c r="I49" s="701">
        <f t="shared" si="7"/>
        <v>0.19140818201088108</v>
      </c>
      <c r="J49" s="701">
        <f t="shared" si="8"/>
        <v>0.49325231399703245</v>
      </c>
    </row>
    <row r="50" spans="3:10">
      <c r="C50" s="143">
        <v>2017</v>
      </c>
      <c r="D50" s="143">
        <v>15008</v>
      </c>
      <c r="E50" s="143">
        <v>3385</v>
      </c>
      <c r="F50" s="143">
        <v>4799</v>
      </c>
      <c r="G50" s="143">
        <v>6194</v>
      </c>
      <c r="H50" s="701">
        <f t="shared" si="6"/>
        <v>0.22554637526652452</v>
      </c>
      <c r="I50" s="701">
        <f t="shared" si="7"/>
        <v>0.31976279317697226</v>
      </c>
      <c r="J50" s="701">
        <f t="shared" si="8"/>
        <v>0.41271321961620472</v>
      </c>
    </row>
    <row r="53" spans="3:10">
      <c r="C53" s="143">
        <v>2012</v>
      </c>
      <c r="D53" s="143" t="s">
        <v>468</v>
      </c>
      <c r="E53" s="143" t="s">
        <v>484</v>
      </c>
      <c r="F53" s="143" t="s">
        <v>485</v>
      </c>
      <c r="G53" s="143" t="s">
        <v>486</v>
      </c>
    </row>
    <row r="54" spans="3:10">
      <c r="C54" s="143" t="s">
        <v>473</v>
      </c>
      <c r="D54" s="702">
        <f t="shared" ref="D54:D59" si="9">SUM(C8,C16)</f>
        <v>5754</v>
      </c>
      <c r="E54" s="702">
        <f t="shared" ref="E54:E59" si="10">SUM(E8,E16)</f>
        <v>236</v>
      </c>
      <c r="F54" s="702">
        <f t="shared" ref="F54:F59" si="11">SUM(G8,G16)</f>
        <v>601</v>
      </c>
      <c r="G54" s="702">
        <f t="shared" ref="G54:G59" si="12">SUM(I8,I16)</f>
        <v>4917</v>
      </c>
      <c r="H54" s="373"/>
      <c r="I54" s="373"/>
      <c r="J54" s="373"/>
    </row>
    <row r="55" spans="3:10">
      <c r="C55" s="143" t="s">
        <v>474</v>
      </c>
      <c r="D55" s="702">
        <f t="shared" si="9"/>
        <v>4853</v>
      </c>
      <c r="E55" s="702">
        <f t="shared" si="10"/>
        <v>1081</v>
      </c>
      <c r="F55" s="702">
        <f t="shared" si="11"/>
        <v>843</v>
      </c>
      <c r="G55" s="702">
        <f t="shared" si="12"/>
        <v>2929</v>
      </c>
      <c r="H55" s="373"/>
      <c r="I55" s="373"/>
      <c r="J55" s="373"/>
    </row>
    <row r="56" spans="3:10">
      <c r="C56" s="143" t="s">
        <v>475</v>
      </c>
      <c r="D56" s="702">
        <f t="shared" si="9"/>
        <v>6189</v>
      </c>
      <c r="E56" s="702">
        <f t="shared" si="10"/>
        <v>2210</v>
      </c>
      <c r="F56" s="702">
        <f t="shared" si="11"/>
        <v>2228</v>
      </c>
      <c r="G56" s="702">
        <f t="shared" si="12"/>
        <v>1751</v>
      </c>
      <c r="H56" s="373"/>
      <c r="I56" s="373"/>
      <c r="J56" s="373"/>
    </row>
    <row r="57" spans="3:10">
      <c r="C57" s="143" t="s">
        <v>476</v>
      </c>
      <c r="D57" s="702">
        <f t="shared" si="9"/>
        <v>8750</v>
      </c>
      <c r="E57" s="702">
        <f t="shared" si="10"/>
        <v>4555</v>
      </c>
      <c r="F57" s="702">
        <f t="shared" si="11"/>
        <v>2947</v>
      </c>
      <c r="G57" s="702">
        <f t="shared" si="12"/>
        <v>1248</v>
      </c>
      <c r="H57" s="373"/>
      <c r="I57" s="373"/>
      <c r="J57" s="373"/>
    </row>
    <row r="58" spans="3:10">
      <c r="C58" s="143" t="s">
        <v>477</v>
      </c>
      <c r="D58" s="702">
        <f t="shared" si="9"/>
        <v>17176</v>
      </c>
      <c r="E58" s="702">
        <f t="shared" si="10"/>
        <v>13030</v>
      </c>
      <c r="F58" s="702">
        <f t="shared" si="11"/>
        <v>3904</v>
      </c>
      <c r="G58" s="702">
        <f t="shared" si="12"/>
        <v>242</v>
      </c>
      <c r="H58" s="373"/>
      <c r="I58" s="373"/>
      <c r="J58" s="373"/>
    </row>
    <row r="59" spans="3:10">
      <c r="C59" s="143" t="s">
        <v>478</v>
      </c>
      <c r="D59" s="702">
        <f t="shared" si="9"/>
        <v>208</v>
      </c>
      <c r="E59" s="702">
        <f t="shared" si="10"/>
        <v>0</v>
      </c>
      <c r="F59" s="702">
        <f t="shared" si="11"/>
        <v>0</v>
      </c>
      <c r="G59" s="702">
        <f t="shared" si="12"/>
        <v>0</v>
      </c>
      <c r="H59" s="373"/>
      <c r="I59" s="373"/>
      <c r="J59" s="373"/>
    </row>
    <row r="60" spans="3:10">
      <c r="C60" s="143" t="s">
        <v>480</v>
      </c>
      <c r="D60" s="702">
        <f>SUM(C22)</f>
        <v>171</v>
      </c>
      <c r="E60" s="702">
        <f>SUM(E22)</f>
        <v>0</v>
      </c>
      <c r="F60" s="702">
        <f>SUM(G22)</f>
        <v>0</v>
      </c>
      <c r="G60" s="702">
        <f>SUM(I22)</f>
        <v>0</v>
      </c>
    </row>
    <row r="62" spans="3:10">
      <c r="C62" s="143">
        <v>2013</v>
      </c>
      <c r="D62" s="143" t="s">
        <v>468</v>
      </c>
      <c r="E62" s="143" t="s">
        <v>484</v>
      </c>
      <c r="F62" s="143" t="s">
        <v>485</v>
      </c>
      <c r="G62" s="143" t="s">
        <v>486</v>
      </c>
    </row>
    <row r="63" spans="3:10" ht="15.75">
      <c r="C63" s="143" t="s">
        <v>473</v>
      </c>
      <c r="D63" s="703">
        <f t="shared" ref="D63:D68" si="13">SUM(N8,N16)</f>
        <v>4777</v>
      </c>
      <c r="E63" s="704">
        <f t="shared" ref="E63:E68" si="14">SUM(P8,P16)</f>
        <v>171</v>
      </c>
      <c r="F63" s="704">
        <f t="shared" ref="F63:F68" si="15">SUM(R8,R16)</f>
        <v>783</v>
      </c>
      <c r="G63" s="704">
        <f t="shared" ref="G63:G68" si="16">SUM(T8,T16)</f>
        <v>3823</v>
      </c>
    </row>
    <row r="64" spans="3:10" ht="15.75">
      <c r="C64" s="143" t="s">
        <v>474</v>
      </c>
      <c r="D64" s="705">
        <f t="shared" si="13"/>
        <v>6557</v>
      </c>
      <c r="E64" s="660">
        <f t="shared" si="14"/>
        <v>939</v>
      </c>
      <c r="F64" s="660">
        <f t="shared" si="15"/>
        <v>1802</v>
      </c>
      <c r="G64" s="660">
        <f t="shared" si="16"/>
        <v>3816</v>
      </c>
    </row>
    <row r="65" spans="3:8" ht="15.75">
      <c r="C65" s="143" t="s">
        <v>475</v>
      </c>
      <c r="D65" s="705">
        <f t="shared" si="13"/>
        <v>5475</v>
      </c>
      <c r="E65" s="705">
        <f t="shared" si="14"/>
        <v>2199</v>
      </c>
      <c r="F65" s="705">
        <f t="shared" si="15"/>
        <v>2021</v>
      </c>
      <c r="G65" s="705">
        <f t="shared" si="16"/>
        <v>1255</v>
      </c>
    </row>
    <row r="66" spans="3:8" ht="15.75">
      <c r="C66" s="143" t="s">
        <v>476</v>
      </c>
      <c r="D66" s="705">
        <f t="shared" si="13"/>
        <v>7705</v>
      </c>
      <c r="E66" s="660">
        <f t="shared" si="14"/>
        <v>3499</v>
      </c>
      <c r="F66" s="660">
        <f t="shared" si="15"/>
        <v>3205</v>
      </c>
      <c r="G66" s="660">
        <f t="shared" si="16"/>
        <v>1001</v>
      </c>
    </row>
    <row r="67" spans="3:8" ht="15.75">
      <c r="C67" s="143" t="s">
        <v>477</v>
      </c>
      <c r="D67" s="705">
        <f t="shared" si="13"/>
        <v>18325</v>
      </c>
      <c r="E67" s="660">
        <f t="shared" si="14"/>
        <v>14902</v>
      </c>
      <c r="F67" s="660">
        <f t="shared" si="15"/>
        <v>2976</v>
      </c>
      <c r="G67" s="660">
        <f t="shared" si="16"/>
        <v>447</v>
      </c>
    </row>
    <row r="68" spans="3:8" ht="15.75">
      <c r="C68" s="143" t="s">
        <v>478</v>
      </c>
      <c r="D68" s="705">
        <f t="shared" si="13"/>
        <v>519</v>
      </c>
      <c r="E68" s="660">
        <f t="shared" si="14"/>
        <v>0</v>
      </c>
      <c r="F68" s="660">
        <f t="shared" si="15"/>
        <v>0</v>
      </c>
      <c r="G68" s="660">
        <f t="shared" si="16"/>
        <v>0</v>
      </c>
    </row>
    <row r="69" spans="3:8" ht="15.75">
      <c r="C69" s="143" t="s">
        <v>480</v>
      </c>
      <c r="D69" s="705">
        <f>SUM(N22)</f>
        <v>354</v>
      </c>
      <c r="E69" s="660">
        <f>SUM(P22)</f>
        <v>0</v>
      </c>
      <c r="F69" s="660">
        <f>SUM(R22)</f>
        <v>0</v>
      </c>
      <c r="G69" s="660">
        <f>SUM(T22)</f>
        <v>0</v>
      </c>
    </row>
    <row r="71" spans="3:8">
      <c r="C71" s="143">
        <v>2014</v>
      </c>
      <c r="D71" s="143" t="s">
        <v>468</v>
      </c>
      <c r="E71" s="143" t="s">
        <v>484</v>
      </c>
      <c r="F71" s="143" t="s">
        <v>485</v>
      </c>
      <c r="G71" s="143" t="s">
        <v>486</v>
      </c>
    </row>
    <row r="72" spans="3:8">
      <c r="C72" s="143" t="s">
        <v>473</v>
      </c>
      <c r="D72" s="702">
        <f t="shared" ref="D72:D77" si="17">SUM(Y8,Y16)</f>
        <v>4843</v>
      </c>
      <c r="E72" s="702">
        <f t="shared" ref="E72:E77" si="18">SUM(AA8,AA16)</f>
        <v>167</v>
      </c>
      <c r="F72" s="702">
        <f t="shared" ref="F72:F77" si="19">SUM(AC8,AC16)</f>
        <v>758</v>
      </c>
      <c r="G72" s="702">
        <f t="shared" ref="G72:G77" si="20">SUM(AE8,AE16)</f>
        <v>3918</v>
      </c>
    </row>
    <row r="73" spans="3:8">
      <c r="C73" s="143" t="s">
        <v>474</v>
      </c>
      <c r="D73" s="702">
        <f t="shared" si="17"/>
        <v>5755</v>
      </c>
      <c r="E73" s="702">
        <f t="shared" si="18"/>
        <v>586</v>
      </c>
      <c r="F73" s="702">
        <f t="shared" si="19"/>
        <v>1583</v>
      </c>
      <c r="G73" s="702">
        <f t="shared" si="20"/>
        <v>3586</v>
      </c>
    </row>
    <row r="74" spans="3:8">
      <c r="C74" s="143" t="s">
        <v>475</v>
      </c>
      <c r="D74" s="702">
        <f t="shared" si="17"/>
        <v>4918</v>
      </c>
      <c r="E74" s="702">
        <f t="shared" si="18"/>
        <v>1467</v>
      </c>
      <c r="F74" s="702">
        <f t="shared" si="19"/>
        <v>2110</v>
      </c>
      <c r="G74" s="702">
        <f t="shared" si="20"/>
        <v>1341</v>
      </c>
    </row>
    <row r="75" spans="3:8">
      <c r="C75" s="143" t="s">
        <v>476</v>
      </c>
      <c r="D75" s="702">
        <f t="shared" si="17"/>
        <v>8383</v>
      </c>
      <c r="E75" s="702">
        <f t="shared" si="18"/>
        <v>4186</v>
      </c>
      <c r="F75" s="702">
        <f t="shared" si="19"/>
        <v>2747</v>
      </c>
      <c r="G75" s="702">
        <f t="shared" si="20"/>
        <v>1450</v>
      </c>
    </row>
    <row r="76" spans="3:8">
      <c r="C76" s="143" t="s">
        <v>477</v>
      </c>
      <c r="D76" s="702">
        <f t="shared" si="17"/>
        <v>20054</v>
      </c>
      <c r="E76" s="702">
        <f t="shared" si="18"/>
        <v>16694</v>
      </c>
      <c r="F76" s="702">
        <f t="shared" si="19"/>
        <v>2555</v>
      </c>
      <c r="G76" s="702">
        <f t="shared" si="20"/>
        <v>805</v>
      </c>
    </row>
    <row r="77" spans="3:8">
      <c r="C77" s="143" t="s">
        <v>478</v>
      </c>
      <c r="D77" s="702">
        <f t="shared" si="17"/>
        <v>333</v>
      </c>
      <c r="E77" s="702">
        <f t="shared" si="18"/>
        <v>0</v>
      </c>
      <c r="F77" s="702">
        <f t="shared" si="19"/>
        <v>0</v>
      </c>
      <c r="G77" s="702">
        <f t="shared" si="20"/>
        <v>0</v>
      </c>
    </row>
    <row r="78" spans="3:8">
      <c r="C78" s="143" t="s">
        <v>480</v>
      </c>
      <c r="D78" s="702">
        <f>SUM(Y22)</f>
        <v>375</v>
      </c>
      <c r="E78" s="702">
        <f>SUM(AA22)</f>
        <v>0</v>
      </c>
      <c r="F78" s="702">
        <f>SUM(AC22)</f>
        <v>0</v>
      </c>
      <c r="G78" s="702">
        <f>SUM(AE22)</f>
        <v>0</v>
      </c>
    </row>
    <row r="80" spans="3:8">
      <c r="C80" s="143">
        <v>2014</v>
      </c>
      <c r="D80" s="143" t="s">
        <v>468</v>
      </c>
      <c r="E80" s="143" t="s">
        <v>484</v>
      </c>
      <c r="F80" s="143" t="s">
        <v>485</v>
      </c>
      <c r="G80" s="143" t="s">
        <v>486</v>
      </c>
      <c r="H80" t="s">
        <v>493</v>
      </c>
    </row>
    <row r="81" spans="3:7">
      <c r="C81" s="143" t="s">
        <v>473</v>
      </c>
      <c r="D81" s="702">
        <f>SUM(Y8,Y16)</f>
        <v>4843</v>
      </c>
      <c r="E81" s="702">
        <f t="shared" ref="E81:E86" si="21">SUM(AA8,AA16)</f>
        <v>167</v>
      </c>
      <c r="F81" s="702">
        <f t="shared" ref="F81:F86" si="22">SUM(AC8,AC16)</f>
        <v>758</v>
      </c>
      <c r="G81" s="702">
        <f t="shared" ref="G81:G86" si="23">SUM(AE8,AE16)</f>
        <v>3918</v>
      </c>
    </row>
    <row r="82" spans="3:7">
      <c r="C82" s="143" t="s">
        <v>474</v>
      </c>
      <c r="D82" s="702">
        <f>SUM(Y9,Y17)</f>
        <v>5755</v>
      </c>
      <c r="E82" s="702">
        <f t="shared" si="21"/>
        <v>586</v>
      </c>
      <c r="F82" s="702">
        <f t="shared" si="22"/>
        <v>1583</v>
      </c>
      <c r="G82" s="702">
        <f t="shared" si="23"/>
        <v>3586</v>
      </c>
    </row>
    <row r="83" spans="3:7">
      <c r="C83" s="143" t="s">
        <v>475</v>
      </c>
      <c r="D83" s="702">
        <f>SUM(Y10,Y18)</f>
        <v>4918</v>
      </c>
      <c r="E83" s="702">
        <f t="shared" si="21"/>
        <v>1467</v>
      </c>
      <c r="F83" s="702">
        <f t="shared" si="22"/>
        <v>2110</v>
      </c>
      <c r="G83" s="702">
        <f t="shared" si="23"/>
        <v>1341</v>
      </c>
    </row>
    <row r="84" spans="3:7">
      <c r="C84" s="143" t="s">
        <v>476</v>
      </c>
      <c r="D84" s="702">
        <f>SUM(Y11,Y19)</f>
        <v>8383</v>
      </c>
      <c r="E84" s="702">
        <f t="shared" si="21"/>
        <v>4186</v>
      </c>
      <c r="F84" s="702">
        <f t="shared" si="22"/>
        <v>2747</v>
      </c>
      <c r="G84" s="702">
        <f t="shared" si="23"/>
        <v>1450</v>
      </c>
    </row>
    <row r="85" spans="3:7">
      <c r="C85" s="143" t="s">
        <v>477</v>
      </c>
      <c r="D85" s="702">
        <f>SUM(Y12,Y20)</f>
        <v>20054</v>
      </c>
      <c r="E85" s="702">
        <f t="shared" si="21"/>
        <v>16694</v>
      </c>
      <c r="F85" s="702">
        <f t="shared" si="22"/>
        <v>2555</v>
      </c>
      <c r="G85" s="702">
        <f t="shared" si="23"/>
        <v>805</v>
      </c>
    </row>
    <row r="86" spans="3:7">
      <c r="C86" s="143" t="s">
        <v>478</v>
      </c>
      <c r="D86" s="702">
        <f>SUM(713,Y21)</f>
        <v>1046</v>
      </c>
      <c r="E86" s="702">
        <f t="shared" si="21"/>
        <v>0</v>
      </c>
      <c r="F86" s="702">
        <f t="shared" si="22"/>
        <v>0</v>
      </c>
      <c r="G86" s="702">
        <f t="shared" si="23"/>
        <v>0</v>
      </c>
    </row>
    <row r="87" spans="3:7">
      <c r="C87" s="143" t="s">
        <v>480</v>
      </c>
      <c r="D87" s="702">
        <f>SUM(Y22)</f>
        <v>375</v>
      </c>
      <c r="E87" s="702">
        <f>SUM(AA22)</f>
        <v>0</v>
      </c>
      <c r="F87" s="702">
        <f>SUM(AC22)</f>
        <v>0</v>
      </c>
      <c r="G87" s="702">
        <f>SUM(AE22)</f>
        <v>0</v>
      </c>
    </row>
    <row r="89" spans="3:7">
      <c r="C89" s="143">
        <v>2015</v>
      </c>
      <c r="D89" s="143" t="s">
        <v>468</v>
      </c>
      <c r="E89" s="143" t="s">
        <v>484</v>
      </c>
      <c r="F89" s="143" t="s">
        <v>485</v>
      </c>
      <c r="G89" s="143" t="s">
        <v>486</v>
      </c>
    </row>
    <row r="90" spans="3:7">
      <c r="C90" s="143" t="s">
        <v>473</v>
      </c>
      <c r="D90" s="702">
        <f t="shared" ref="D90:D95" si="24">SUM(AJ8,AJ16)</f>
        <v>5505</v>
      </c>
      <c r="E90" s="702">
        <f t="shared" ref="E90:E95" si="25">SUM(AL8,AL16)</f>
        <v>119</v>
      </c>
      <c r="F90" s="702">
        <f>SUM(AL8,AN16)</f>
        <v>742</v>
      </c>
      <c r="G90" s="702">
        <f t="shared" ref="G90:G95" si="26">SUM(AP8,AP16)</f>
        <v>5630</v>
      </c>
    </row>
    <row r="91" spans="3:7">
      <c r="C91" s="143" t="s">
        <v>474</v>
      </c>
      <c r="D91" s="702">
        <f t="shared" si="24"/>
        <v>3270</v>
      </c>
      <c r="E91" s="702">
        <f t="shared" si="25"/>
        <v>727</v>
      </c>
      <c r="F91" s="702">
        <f>SUM(AN9,AL17)</f>
        <v>1259</v>
      </c>
      <c r="G91" s="702">
        <f t="shared" si="26"/>
        <v>2867</v>
      </c>
    </row>
    <row r="92" spans="3:7">
      <c r="C92" s="143" t="s">
        <v>475</v>
      </c>
      <c r="D92" s="702">
        <f t="shared" si="24"/>
        <v>4673</v>
      </c>
      <c r="E92" s="702">
        <f t="shared" si="25"/>
        <v>1735</v>
      </c>
      <c r="F92" s="702">
        <f>SUM(AN10,AN18)</f>
        <v>1640</v>
      </c>
      <c r="G92" s="702">
        <f t="shared" si="26"/>
        <v>1298</v>
      </c>
    </row>
    <row r="93" spans="3:7">
      <c r="C93" s="143" t="s">
        <v>476</v>
      </c>
      <c r="D93" s="702">
        <f t="shared" si="24"/>
        <v>7881</v>
      </c>
      <c r="E93" s="702">
        <f t="shared" si="25"/>
        <v>4073</v>
      </c>
      <c r="F93" s="702">
        <f>SUM(AN11,AN19)</f>
        <v>3001</v>
      </c>
      <c r="G93" s="702">
        <f t="shared" si="26"/>
        <v>807</v>
      </c>
    </row>
    <row r="94" spans="3:7">
      <c r="C94" s="143" t="s">
        <v>477</v>
      </c>
      <c r="D94" s="702">
        <f t="shared" si="24"/>
        <v>19044</v>
      </c>
      <c r="E94" s="702">
        <f t="shared" si="25"/>
        <v>15936</v>
      </c>
      <c r="F94" s="702">
        <f>SUM(AN12,AN20)</f>
        <v>2978</v>
      </c>
      <c r="G94" s="702">
        <f t="shared" si="26"/>
        <v>130</v>
      </c>
    </row>
    <row r="95" spans="3:7">
      <c r="C95" s="143" t="s">
        <v>478</v>
      </c>
      <c r="D95" s="702">
        <f t="shared" si="24"/>
        <v>530</v>
      </c>
      <c r="E95" s="702">
        <f t="shared" si="25"/>
        <v>0</v>
      </c>
      <c r="F95" s="702">
        <f>SUM(AN13,AN21)</f>
        <v>0</v>
      </c>
      <c r="G95" s="702">
        <f t="shared" si="26"/>
        <v>0</v>
      </c>
    </row>
    <row r="96" spans="3:7">
      <c r="C96" s="143" t="s">
        <v>480</v>
      </c>
      <c r="D96" s="702">
        <f>SUM(AJ22)</f>
        <v>313</v>
      </c>
      <c r="E96" s="702">
        <f>SUM(AL22)</f>
        <v>0</v>
      </c>
      <c r="F96" s="702">
        <f>SUM(AN22)</f>
        <v>0</v>
      </c>
      <c r="G96" s="702">
        <f>SUM(AP22)</f>
        <v>0</v>
      </c>
    </row>
    <row r="98" spans="3:7">
      <c r="C98" s="143">
        <v>2016</v>
      </c>
      <c r="D98" s="143" t="s">
        <v>468</v>
      </c>
      <c r="E98" s="143" t="s">
        <v>484</v>
      </c>
      <c r="F98" s="143" t="s">
        <v>485</v>
      </c>
      <c r="G98" s="143" t="s">
        <v>486</v>
      </c>
    </row>
    <row r="99" spans="3:7">
      <c r="C99" s="143" t="s">
        <v>473</v>
      </c>
      <c r="D99" s="702">
        <f t="shared" ref="D99:D104" si="27">SUM(AU8,AU16)</f>
        <v>4867</v>
      </c>
      <c r="E99" s="702">
        <f t="shared" ref="E99:E104" si="28">SUM(AW8,AW16)</f>
        <v>181</v>
      </c>
      <c r="F99" s="702">
        <f t="shared" ref="F99:F104" si="29">SUM(AY8,AY16)</f>
        <v>345</v>
      </c>
      <c r="G99" s="702">
        <f t="shared" ref="G99:G104" si="30">SUM(BA8,BA16)</f>
        <v>4341</v>
      </c>
    </row>
    <row r="100" spans="3:7">
      <c r="C100" s="143" t="s">
        <v>474</v>
      </c>
      <c r="D100" s="702">
        <f t="shared" si="27"/>
        <v>5710</v>
      </c>
      <c r="E100" s="702">
        <f t="shared" si="28"/>
        <v>939</v>
      </c>
      <c r="F100" s="702">
        <f t="shared" si="29"/>
        <v>1393</v>
      </c>
      <c r="G100" s="702">
        <f t="shared" si="30"/>
        <v>3378</v>
      </c>
    </row>
    <row r="101" spans="3:7">
      <c r="C101" s="143" t="s">
        <v>475</v>
      </c>
      <c r="D101" s="702">
        <f t="shared" si="27"/>
        <v>6730</v>
      </c>
      <c r="E101" s="702">
        <f t="shared" si="28"/>
        <v>2435</v>
      </c>
      <c r="F101" s="702">
        <f t="shared" si="29"/>
        <v>1843</v>
      </c>
      <c r="G101" s="702">
        <f t="shared" si="30"/>
        <v>2452</v>
      </c>
    </row>
    <row r="102" spans="3:7">
      <c r="C102" s="143" t="s">
        <v>476</v>
      </c>
      <c r="D102" s="702">
        <f t="shared" si="27"/>
        <v>7392</v>
      </c>
      <c r="E102" s="702">
        <f t="shared" si="28"/>
        <v>3202</v>
      </c>
      <c r="F102" s="702">
        <f t="shared" si="29"/>
        <v>3178</v>
      </c>
      <c r="G102" s="702">
        <f t="shared" si="30"/>
        <v>1012</v>
      </c>
    </row>
    <row r="103" spans="3:7">
      <c r="C103" s="143" t="s">
        <v>477</v>
      </c>
      <c r="D103" s="702">
        <f t="shared" si="27"/>
        <v>20986</v>
      </c>
      <c r="E103" s="702">
        <f t="shared" si="28"/>
        <v>17599</v>
      </c>
      <c r="F103" s="702">
        <f t="shared" si="29"/>
        <v>2800</v>
      </c>
      <c r="G103" s="702">
        <f t="shared" si="30"/>
        <v>587</v>
      </c>
    </row>
    <row r="104" spans="3:7">
      <c r="C104" s="143" t="s">
        <v>478</v>
      </c>
      <c r="D104" s="702">
        <f t="shared" si="27"/>
        <v>494</v>
      </c>
      <c r="E104" s="702">
        <f t="shared" si="28"/>
        <v>0</v>
      </c>
      <c r="F104" s="702">
        <f t="shared" si="29"/>
        <v>0</v>
      </c>
      <c r="G104" s="702">
        <f t="shared" si="30"/>
        <v>0</v>
      </c>
    </row>
    <row r="105" spans="3:7">
      <c r="C105" s="143" t="s">
        <v>480</v>
      </c>
      <c r="D105" s="702">
        <f>SUM(AU22)</f>
        <v>299</v>
      </c>
      <c r="E105" s="702">
        <f>SUM(AW22)</f>
        <v>0</v>
      </c>
      <c r="F105" s="702">
        <f>SUM(AY22)</f>
        <v>0</v>
      </c>
      <c r="G105" s="702">
        <f>SUM(BA22)</f>
        <v>0</v>
      </c>
    </row>
    <row r="107" spans="3:7">
      <c r="C107" s="143">
        <v>2017</v>
      </c>
      <c r="D107" s="143" t="s">
        <v>468</v>
      </c>
      <c r="E107" s="143" t="s">
        <v>484</v>
      </c>
      <c r="F107" s="143" t="s">
        <v>485</v>
      </c>
      <c r="G107" s="143" t="s">
        <v>486</v>
      </c>
    </row>
    <row r="108" spans="3:7">
      <c r="C108" s="143" t="s">
        <v>473</v>
      </c>
      <c r="D108" s="702">
        <f t="shared" ref="D108:D113" si="31">SUM(BF8,BF16)</f>
        <v>4734</v>
      </c>
      <c r="E108" s="702">
        <f t="shared" ref="E108:E113" si="32">SUM(BH8,BH16)</f>
        <v>308</v>
      </c>
      <c r="F108" s="702">
        <f t="shared" ref="F108:F113" si="33">SUM(BJ8,BJ16)</f>
        <v>562</v>
      </c>
      <c r="G108" s="702">
        <f t="shared" ref="G108:G113" si="34">SUM(BL8,BL16)</f>
        <v>3864</v>
      </c>
    </row>
    <row r="109" spans="3:7">
      <c r="C109" s="143" t="s">
        <v>474</v>
      </c>
      <c r="D109" s="702">
        <f t="shared" si="31"/>
        <v>4400</v>
      </c>
      <c r="E109" s="702">
        <f t="shared" si="32"/>
        <v>598</v>
      </c>
      <c r="F109" s="702">
        <f t="shared" si="33"/>
        <v>1396</v>
      </c>
      <c r="G109" s="702">
        <f t="shared" si="34"/>
        <v>2406</v>
      </c>
    </row>
    <row r="110" spans="3:7">
      <c r="C110" s="143" t="s">
        <v>475</v>
      </c>
      <c r="D110" s="702">
        <f t="shared" si="31"/>
        <v>4096</v>
      </c>
      <c r="E110" s="702">
        <f t="shared" si="32"/>
        <v>1466</v>
      </c>
      <c r="F110" s="702">
        <f t="shared" si="33"/>
        <v>907</v>
      </c>
      <c r="G110" s="702">
        <f t="shared" si="34"/>
        <v>1723</v>
      </c>
    </row>
    <row r="111" spans="3:7">
      <c r="C111" s="143" t="s">
        <v>476</v>
      </c>
      <c r="D111" s="702">
        <f t="shared" si="31"/>
        <v>9218</v>
      </c>
      <c r="E111" s="702">
        <f t="shared" si="32"/>
        <v>3258</v>
      </c>
      <c r="F111" s="702">
        <f t="shared" si="33"/>
        <v>4209</v>
      </c>
      <c r="G111" s="702">
        <f t="shared" si="34"/>
        <v>1751</v>
      </c>
    </row>
    <row r="112" spans="3:7">
      <c r="C112" s="143" t="s">
        <v>477</v>
      </c>
      <c r="D112" s="702">
        <f t="shared" si="31"/>
        <v>23512</v>
      </c>
      <c r="E112" s="702">
        <f t="shared" si="32"/>
        <v>19102</v>
      </c>
      <c r="F112" s="702">
        <f t="shared" si="33"/>
        <v>3558</v>
      </c>
      <c r="G112" s="702">
        <f t="shared" si="34"/>
        <v>852</v>
      </c>
    </row>
    <row r="113" spans="3:7">
      <c r="C113" s="143" t="s">
        <v>478</v>
      </c>
      <c r="D113" s="702">
        <f t="shared" si="31"/>
        <v>242</v>
      </c>
      <c r="E113" s="702">
        <f t="shared" si="32"/>
        <v>0</v>
      </c>
      <c r="F113" s="702">
        <f t="shared" si="33"/>
        <v>0</v>
      </c>
      <c r="G113" s="702">
        <f t="shared" si="34"/>
        <v>0</v>
      </c>
    </row>
    <row r="114" spans="3:7">
      <c r="C114" s="143" t="s">
        <v>480</v>
      </c>
      <c r="D114" s="702">
        <f>SUM(BF22)</f>
        <v>443</v>
      </c>
      <c r="E114" s="702">
        <f>SUM(BH22)</f>
        <v>0</v>
      </c>
      <c r="F114" s="702">
        <f>SUM(BJ22)</f>
        <v>0</v>
      </c>
      <c r="G114" s="702">
        <f>SUM(BL22)</f>
        <v>0</v>
      </c>
    </row>
  </sheetData>
  <mergeCells count="4">
    <mergeCell ref="E25:G25"/>
    <mergeCell ref="H25:J25"/>
    <mergeCell ref="H34:J34"/>
    <mergeCell ref="H43:J4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67"/>
  <sheetViews>
    <sheetView topLeftCell="A45" zoomScale="70" zoomScaleNormal="70" workbookViewId="0">
      <selection activeCell="AF15" sqref="AF15:AF21"/>
    </sheetView>
  </sheetViews>
  <sheetFormatPr defaultColWidth="10.85546875" defaultRowHeight="15"/>
  <cols>
    <col min="1" max="1" width="16" customWidth="1"/>
    <col min="2" max="2" width="19.85546875" customWidth="1"/>
    <col min="3" max="3" width="10.85546875" customWidth="1"/>
    <col min="4" max="4" width="13.7109375" customWidth="1"/>
    <col min="6" max="6" width="21.7109375" customWidth="1"/>
    <col min="7" max="21" width="11.140625" bestFit="1" customWidth="1"/>
    <col min="22" max="22" width="11" bestFit="1" customWidth="1"/>
    <col min="24" max="24" width="10.85546875" style="528"/>
    <col min="26" max="26" width="21.7109375" customWidth="1"/>
    <col min="28" max="28" width="10.85546875" customWidth="1"/>
    <col min="30" max="30" width="11.7109375" customWidth="1"/>
    <col min="32" max="32" width="15.5703125" customWidth="1"/>
    <col min="37" max="37" width="12.28515625" customWidth="1"/>
  </cols>
  <sheetData>
    <row r="1" spans="1:55" ht="18.75">
      <c r="A1" s="23" t="s">
        <v>381</v>
      </c>
      <c r="B1" s="3"/>
      <c r="H1" t="s">
        <v>600</v>
      </c>
    </row>
    <row r="2" spans="1:55">
      <c r="A2" t="s">
        <v>389</v>
      </c>
      <c r="B2" s="3"/>
    </row>
    <row r="3" spans="1:55">
      <c r="A3" t="s">
        <v>391</v>
      </c>
      <c r="B3" s="539">
        <v>3537</v>
      </c>
    </row>
    <row r="4" spans="1:55">
      <c r="A4" t="s">
        <v>596</v>
      </c>
      <c r="B4" s="539">
        <v>1504</v>
      </c>
    </row>
    <row r="5" spans="1:55">
      <c r="A5" t="s">
        <v>597</v>
      </c>
      <c r="B5" s="539">
        <v>2681</v>
      </c>
    </row>
    <row r="6" spans="1:55" ht="19.5" thickBot="1">
      <c r="A6" s="23"/>
      <c r="B6" s="3"/>
    </row>
    <row r="7" spans="1:55" ht="15.75" thickBot="1">
      <c r="C7" s="11"/>
      <c r="D7" s="11"/>
      <c r="Z7" s="534" t="s">
        <v>410</v>
      </c>
      <c r="AA7" s="545" t="s">
        <v>342</v>
      </c>
      <c r="AB7" s="143" t="s">
        <v>343</v>
      </c>
      <c r="AD7" s="546" t="s">
        <v>234</v>
      </c>
      <c r="AE7" s="547" t="s">
        <v>235</v>
      </c>
      <c r="AF7" s="547" t="s">
        <v>236</v>
      </c>
      <c r="AG7" s="547" t="s">
        <v>237</v>
      </c>
      <c r="AH7" s="547" t="s">
        <v>238</v>
      </c>
      <c r="AI7" s="547" t="s">
        <v>239</v>
      </c>
      <c r="AJ7" s="547" t="s">
        <v>240</v>
      </c>
      <c r="AK7" s="547" t="s">
        <v>241</v>
      </c>
      <c r="AL7" s="547" t="s">
        <v>242</v>
      </c>
      <c r="AM7" s="547" t="s">
        <v>243</v>
      </c>
      <c r="AN7" s="547" t="s">
        <v>244</v>
      </c>
      <c r="AO7" s="547" t="s">
        <v>245</v>
      </c>
      <c r="AP7" s="547" t="s">
        <v>246</v>
      </c>
      <c r="AQ7" s="547" t="s">
        <v>247</v>
      </c>
      <c r="AR7" s="547" t="s">
        <v>248</v>
      </c>
      <c r="AS7" s="547" t="s">
        <v>249</v>
      </c>
      <c r="AT7" s="548" t="s">
        <v>250</v>
      </c>
    </row>
    <row r="8" spans="1:55" ht="15.75" thickBot="1">
      <c r="A8" s="3"/>
      <c r="B8" s="534">
        <v>2014</v>
      </c>
      <c r="C8" s="545" t="s">
        <v>342</v>
      </c>
      <c r="D8" s="143" t="s">
        <v>343</v>
      </c>
      <c r="F8" s="546" t="s">
        <v>234</v>
      </c>
      <c r="G8" s="547" t="s">
        <v>235</v>
      </c>
      <c r="H8" s="547" t="s">
        <v>236</v>
      </c>
      <c r="I8" s="547" t="s">
        <v>237</v>
      </c>
      <c r="J8" s="547" t="s">
        <v>238</v>
      </c>
      <c r="K8" s="547" t="s">
        <v>239</v>
      </c>
      <c r="L8" s="547" t="s">
        <v>240</v>
      </c>
      <c r="M8" s="547" t="s">
        <v>241</v>
      </c>
      <c r="N8" s="547" t="s">
        <v>242</v>
      </c>
      <c r="O8" s="547" t="s">
        <v>243</v>
      </c>
      <c r="P8" s="547" t="s">
        <v>244</v>
      </c>
      <c r="Q8" s="547" t="s">
        <v>245</v>
      </c>
      <c r="R8" s="547" t="s">
        <v>246</v>
      </c>
      <c r="S8" s="547" t="s">
        <v>247</v>
      </c>
      <c r="T8" s="547" t="s">
        <v>248</v>
      </c>
      <c r="U8" s="547" t="s">
        <v>249</v>
      </c>
      <c r="V8" s="548" t="s">
        <v>250</v>
      </c>
      <c r="Z8" s="549" t="s">
        <v>257</v>
      </c>
      <c r="AA8" s="529"/>
      <c r="AB8" s="530"/>
      <c r="AD8" s="546" t="s">
        <v>251</v>
      </c>
      <c r="AE8" s="531">
        <f>0.3*AA10</f>
        <v>20568.149999999998</v>
      </c>
      <c r="AF8" s="531">
        <f>0.35*AA10</f>
        <v>23996.174999999999</v>
      </c>
      <c r="AG8" s="531">
        <f>0.4*AA10</f>
        <v>27424.2</v>
      </c>
      <c r="AH8" s="531">
        <f>0.45*AA10</f>
        <v>30852.225000000002</v>
      </c>
      <c r="AI8" s="531">
        <f>0.5*AA10</f>
        <v>34280.25</v>
      </c>
      <c r="AJ8" s="531">
        <f>0.55*AA10</f>
        <v>37708.275000000001</v>
      </c>
      <c r="AK8" s="531">
        <f>0.6*AA10</f>
        <v>41136.299999999996</v>
      </c>
      <c r="AL8" s="531">
        <f>0.65*AA10</f>
        <v>44564.325000000004</v>
      </c>
      <c r="AM8" s="531">
        <f>0.7*AA10</f>
        <v>47992.35</v>
      </c>
      <c r="AN8" s="531">
        <f>0.75*AA10</f>
        <v>51420.375</v>
      </c>
      <c r="AO8" s="531">
        <f>0.8*AA10</f>
        <v>54848.4</v>
      </c>
      <c r="AP8" s="531">
        <f>0.85*AA10</f>
        <v>58276.424999999996</v>
      </c>
      <c r="AQ8" s="531">
        <f>0.9*AA10</f>
        <v>61704.450000000004</v>
      </c>
      <c r="AR8" s="531">
        <f>0.95*AA10</f>
        <v>65132.474999999999</v>
      </c>
      <c r="AS8" s="531">
        <f>1*AA10</f>
        <v>68560.5</v>
      </c>
      <c r="AT8" s="531"/>
    </row>
    <row r="9" spans="1:55">
      <c r="B9" s="549" t="s">
        <v>257</v>
      </c>
      <c r="C9" s="529">
        <v>111398</v>
      </c>
      <c r="D9" s="530"/>
      <c r="F9" s="546" t="s">
        <v>251</v>
      </c>
      <c r="G9" s="531">
        <f>0.3*C11</f>
        <v>19417.8</v>
      </c>
      <c r="H9" s="531">
        <f>0.35*C11</f>
        <v>22654.1</v>
      </c>
      <c r="I9" s="531">
        <f>0.4*C11</f>
        <v>25890.400000000001</v>
      </c>
      <c r="J9" s="531">
        <f>0.45*C11</f>
        <v>29126.7</v>
      </c>
      <c r="K9" s="531">
        <f>0.5*C11</f>
        <v>32363</v>
      </c>
      <c r="L9" s="531">
        <f>0.55*C11</f>
        <v>35599.300000000003</v>
      </c>
      <c r="M9" s="531">
        <f>0.6*C11</f>
        <v>38835.599999999999</v>
      </c>
      <c r="N9" s="531">
        <f>0.65*C11</f>
        <v>42071.9</v>
      </c>
      <c r="O9" s="531">
        <f>0.7*C11</f>
        <v>45308.2</v>
      </c>
      <c r="P9" s="531">
        <f>0.75*C11</f>
        <v>48544.5</v>
      </c>
      <c r="Q9" s="531">
        <f>0.8*C11</f>
        <v>51780.800000000003</v>
      </c>
      <c r="R9" s="531">
        <f>0.85*C11</f>
        <v>55017.1</v>
      </c>
      <c r="S9" s="531">
        <f>0.9*C11</f>
        <v>58253.4</v>
      </c>
      <c r="T9" s="531">
        <f>0.95*C11</f>
        <v>61489.7</v>
      </c>
      <c r="U9" s="531">
        <f>1*C11</f>
        <v>64726</v>
      </c>
      <c r="V9" s="531"/>
      <c r="Z9" s="547" t="s">
        <v>258</v>
      </c>
      <c r="AA9" s="529">
        <f>(SUM(C10,C53,C85,C116))/4</f>
        <v>45200.5</v>
      </c>
      <c r="AB9" s="530"/>
      <c r="AD9" s="546" t="s">
        <v>348</v>
      </c>
      <c r="AE9" s="531">
        <f t="shared" ref="AE9:AT9" si="0">MROUND(AE8,5000)</f>
        <v>20000</v>
      </c>
      <c r="AF9" s="531">
        <f t="shared" si="0"/>
        <v>25000</v>
      </c>
      <c r="AG9" s="531">
        <f t="shared" si="0"/>
        <v>25000</v>
      </c>
      <c r="AH9" s="531">
        <f t="shared" si="0"/>
        <v>30000</v>
      </c>
      <c r="AI9" s="531">
        <f t="shared" si="0"/>
        <v>35000</v>
      </c>
      <c r="AJ9" s="531">
        <f t="shared" si="0"/>
        <v>40000</v>
      </c>
      <c r="AK9" s="531">
        <f t="shared" si="0"/>
        <v>40000</v>
      </c>
      <c r="AL9" s="531">
        <f t="shared" si="0"/>
        <v>45000</v>
      </c>
      <c r="AM9" s="531">
        <f t="shared" si="0"/>
        <v>50000</v>
      </c>
      <c r="AN9" s="531">
        <f t="shared" si="0"/>
        <v>50000</v>
      </c>
      <c r="AO9" s="531">
        <f t="shared" si="0"/>
        <v>55000</v>
      </c>
      <c r="AP9" s="531">
        <f t="shared" si="0"/>
        <v>60000</v>
      </c>
      <c r="AQ9" s="531">
        <f t="shared" si="0"/>
        <v>60000</v>
      </c>
      <c r="AR9" s="531">
        <f t="shared" si="0"/>
        <v>65000</v>
      </c>
      <c r="AS9" s="531">
        <f t="shared" si="0"/>
        <v>70000</v>
      </c>
      <c r="AT9" s="531">
        <f t="shared" si="0"/>
        <v>0</v>
      </c>
    </row>
    <row r="10" spans="1:55">
      <c r="B10" s="547" t="s">
        <v>258</v>
      </c>
      <c r="C10" s="529">
        <v>44661</v>
      </c>
      <c r="D10" s="530"/>
      <c r="F10" s="546" t="s">
        <v>348</v>
      </c>
      <c r="G10" s="531">
        <f t="shared" ref="G10:V10" si="1">MROUND(G9,5000)</f>
        <v>20000</v>
      </c>
      <c r="H10" s="531">
        <f t="shared" si="1"/>
        <v>25000</v>
      </c>
      <c r="I10" s="531">
        <f t="shared" si="1"/>
        <v>25000</v>
      </c>
      <c r="J10" s="531">
        <f t="shared" si="1"/>
        <v>30000</v>
      </c>
      <c r="K10" s="531">
        <f t="shared" si="1"/>
        <v>30000</v>
      </c>
      <c r="L10" s="531">
        <f t="shared" si="1"/>
        <v>35000</v>
      </c>
      <c r="M10" s="531">
        <f t="shared" si="1"/>
        <v>40000</v>
      </c>
      <c r="N10" s="531">
        <f t="shared" si="1"/>
        <v>40000</v>
      </c>
      <c r="O10" s="531">
        <f t="shared" si="1"/>
        <v>45000</v>
      </c>
      <c r="P10" s="531">
        <f t="shared" si="1"/>
        <v>50000</v>
      </c>
      <c r="Q10" s="531">
        <f t="shared" si="1"/>
        <v>50000</v>
      </c>
      <c r="R10" s="531">
        <f t="shared" si="1"/>
        <v>55000</v>
      </c>
      <c r="S10" s="531">
        <f t="shared" si="1"/>
        <v>60000</v>
      </c>
      <c r="T10" s="531">
        <f t="shared" si="1"/>
        <v>60000</v>
      </c>
      <c r="U10" s="531">
        <f t="shared" si="1"/>
        <v>65000</v>
      </c>
      <c r="V10" s="531">
        <f t="shared" si="1"/>
        <v>0</v>
      </c>
      <c r="Z10" s="547" t="s">
        <v>261</v>
      </c>
      <c r="AA10" s="529">
        <f>(SUM(C11,C54,C86,C117))/4</f>
        <v>68560.5</v>
      </c>
      <c r="AB10" s="530"/>
      <c r="AC10" s="6"/>
      <c r="AD10" s="546" t="s">
        <v>252</v>
      </c>
      <c r="AE10" s="580">
        <f>SUM(AA15:AA17)</f>
        <v>5450.75</v>
      </c>
      <c r="AF10" s="917">
        <f>SUM(AA18)</f>
        <v>1675.5</v>
      </c>
      <c r="AG10" s="918"/>
      <c r="AH10" s="580">
        <f>SUM(AA19)</f>
        <v>1947.75</v>
      </c>
      <c r="AI10" s="581">
        <f>SUM(AA20)</f>
        <v>1760.25</v>
      </c>
      <c r="AJ10" s="917">
        <f>SUM(AA21)</f>
        <v>1628.75</v>
      </c>
      <c r="AK10" s="918"/>
      <c r="AL10" s="581">
        <f>SUM(AA22)</f>
        <v>1974.5</v>
      </c>
      <c r="AM10" s="917">
        <f>SUM(AA23)</f>
        <v>1570.75</v>
      </c>
      <c r="AN10" s="918"/>
      <c r="AO10" s="917">
        <f>SUM(AA24)</f>
        <v>3596</v>
      </c>
      <c r="AP10" s="919"/>
      <c r="AQ10" s="918"/>
      <c r="AR10" s="917">
        <f>SUM(AA25:AA30)</f>
        <v>25596.25</v>
      </c>
      <c r="AS10" s="919"/>
      <c r="AT10" s="918"/>
    </row>
    <row r="11" spans="1:55">
      <c r="B11" s="547" t="s">
        <v>261</v>
      </c>
      <c r="C11" s="529">
        <v>64726</v>
      </c>
      <c r="D11" s="530">
        <v>3741</v>
      </c>
      <c r="F11" s="546" t="s">
        <v>252</v>
      </c>
      <c r="G11" s="550">
        <f>SUM(C15:C17)</f>
        <v>5292</v>
      </c>
      <c r="H11" s="921">
        <f>SUM(C18)</f>
        <v>1174</v>
      </c>
      <c r="I11" s="922"/>
      <c r="J11" s="921">
        <f>SUM(C19)</f>
        <v>2524</v>
      </c>
      <c r="K11" s="922"/>
      <c r="L11" s="551">
        <f>SUM(C20)</f>
        <v>2232</v>
      </c>
      <c r="M11" s="921">
        <f>SUM(C21)</f>
        <v>1386</v>
      </c>
      <c r="N11" s="922"/>
      <c r="O11" s="551">
        <f>SUM(C22)</f>
        <v>1923</v>
      </c>
      <c r="P11" s="921">
        <f>SUM(C23)</f>
        <v>1693</v>
      </c>
      <c r="Q11" s="922"/>
      <c r="R11" s="921">
        <f>SUM(C24)</f>
        <v>3805</v>
      </c>
      <c r="S11" s="923"/>
      <c r="T11" s="924"/>
      <c r="U11" s="921">
        <f>SUM(C25:C30)</f>
        <v>24632</v>
      </c>
      <c r="V11" s="922"/>
      <c r="AC11" s="541"/>
      <c r="AD11" s="546" t="s">
        <v>253</v>
      </c>
      <c r="AE11" s="537">
        <f>AE10/AA9</f>
        <v>0.12059048019380317</v>
      </c>
      <c r="AF11" s="914">
        <f>AF10/AA9</f>
        <v>3.7068174024623618E-2</v>
      </c>
      <c r="AG11" s="916"/>
      <c r="AH11" s="537">
        <f>AH10/AA9</f>
        <v>4.3091337485204807E-2</v>
      </c>
      <c r="AI11" s="538">
        <f>AI10/AA9</f>
        <v>3.8943153283702611E-2</v>
      </c>
      <c r="AJ11" s="914">
        <f>AJ10/AA9</f>
        <v>3.6033893430382408E-2</v>
      </c>
      <c r="AK11" s="916"/>
      <c r="AL11" s="538">
        <f>AL10/AA9</f>
        <v>4.3683145097952458E-2</v>
      </c>
      <c r="AM11" s="914">
        <f>AM10/AA9</f>
        <v>3.4750721784051058E-2</v>
      </c>
      <c r="AN11" s="916"/>
      <c r="AO11" s="914">
        <f>AO10/AA9</f>
        <v>7.955664207254344E-2</v>
      </c>
      <c r="AP11" s="915"/>
      <c r="AQ11" s="916"/>
      <c r="AR11" s="914">
        <f>AR10/AA9</f>
        <v>0.56628245262773647</v>
      </c>
      <c r="AS11" s="915"/>
      <c r="AT11" s="916"/>
    </row>
    <row r="12" spans="1:55" ht="15.75" thickBot="1">
      <c r="C12" s="11"/>
      <c r="D12" s="17"/>
      <c r="F12" s="546" t="s">
        <v>253</v>
      </c>
      <c r="G12" s="537">
        <f>G11/C10</f>
        <v>0.11849264458923893</v>
      </c>
      <c r="H12" s="914">
        <f>H11/C10</f>
        <v>2.6286916996932447E-2</v>
      </c>
      <c r="I12" s="916"/>
      <c r="J12" s="914">
        <f>J11/C10</f>
        <v>5.6514632453370947E-2</v>
      </c>
      <c r="K12" s="916"/>
      <c r="L12" s="538">
        <f>L11/C10</f>
        <v>4.9976489554644996E-2</v>
      </c>
      <c r="M12" s="914">
        <f>M11/C10</f>
        <v>3.1033787868610198E-2</v>
      </c>
      <c r="N12" s="916"/>
      <c r="O12" s="538">
        <f>O11/C10</f>
        <v>4.3057701350171292E-2</v>
      </c>
      <c r="P12" s="914">
        <f>P11/C10</f>
        <v>3.7907794272407695E-2</v>
      </c>
      <c r="Q12" s="916"/>
      <c r="R12" s="914">
        <f>R11/C10</f>
        <v>8.5197375786480373E-2</v>
      </c>
      <c r="S12" s="915"/>
      <c r="T12" s="916"/>
      <c r="U12" s="914">
        <f>U11/C10</f>
        <v>0.55153265712814314</v>
      </c>
      <c r="V12" s="916"/>
    </row>
    <row r="13" spans="1:55" ht="15.75" thickBot="1">
      <c r="B13" s="552" t="s">
        <v>399</v>
      </c>
      <c r="C13" s="543" t="s">
        <v>401</v>
      </c>
      <c r="D13" s="543" t="s">
        <v>402</v>
      </c>
      <c r="Z13" s="542" t="s">
        <v>396</v>
      </c>
      <c r="AA13" s="544" t="s">
        <v>397</v>
      </c>
      <c r="AB13" s="544" t="s">
        <v>398</v>
      </c>
      <c r="AD13" s="555" t="s">
        <v>254</v>
      </c>
      <c r="AE13" s="556" t="s">
        <v>392</v>
      </c>
      <c r="AF13" s="777" t="s">
        <v>599</v>
      </c>
      <c r="AG13" s="778" t="s">
        <v>596</v>
      </c>
      <c r="AH13" s="570" t="s">
        <v>597</v>
      </c>
      <c r="BA13" s="38"/>
      <c r="BB13" s="38"/>
      <c r="BC13" s="38"/>
    </row>
    <row r="14" spans="1:55" ht="17.100000000000001" customHeight="1" thickBot="1">
      <c r="B14" s="553" t="s">
        <v>400</v>
      </c>
      <c r="C14" s="554">
        <v>44661</v>
      </c>
      <c r="D14" s="576">
        <v>1030</v>
      </c>
      <c r="G14" s="555" t="s">
        <v>254</v>
      </c>
      <c r="H14" s="556" t="s">
        <v>392</v>
      </c>
      <c r="I14" s="557" t="s">
        <v>390</v>
      </c>
      <c r="Z14" s="553" t="s">
        <v>400</v>
      </c>
      <c r="AA14" s="579">
        <f t="shared" ref="AA14:AA30" si="2">(SUM(C14,C57,C89,C120))/4</f>
        <v>45200.5</v>
      </c>
      <c r="AB14" s="577">
        <f t="shared" ref="AB14:AB30" si="3">SQRT(SUM(D14^2,D57^2,D89^2,D120^2))</f>
        <v>2373.0474078703105</v>
      </c>
      <c r="AD14" s="553" t="s">
        <v>365</v>
      </c>
      <c r="AE14" s="540">
        <v>0.121</v>
      </c>
      <c r="AF14" s="565"/>
      <c r="AG14" s="565"/>
      <c r="AH14" s="565"/>
      <c r="AK14" s="38"/>
      <c r="AL14" s="558"/>
      <c r="AM14" s="558"/>
      <c r="AN14" s="558"/>
      <c r="AO14" s="558"/>
      <c r="AP14" s="558"/>
      <c r="AQ14" s="559"/>
      <c r="AR14" s="558"/>
      <c r="AS14" s="38"/>
      <c r="AT14" s="560"/>
      <c r="AU14" s="560"/>
      <c r="AV14" s="560"/>
      <c r="AW14" s="560"/>
      <c r="AX14" s="560"/>
      <c r="AY14" s="560"/>
      <c r="AZ14" s="560"/>
      <c r="BA14" s="561"/>
      <c r="BB14" s="61"/>
      <c r="BC14" s="561"/>
    </row>
    <row r="15" spans="1:55">
      <c r="B15" s="562" t="s">
        <v>349</v>
      </c>
      <c r="C15" s="563">
        <v>1944</v>
      </c>
      <c r="D15" s="567">
        <v>947</v>
      </c>
      <c r="G15" s="143" t="s">
        <v>365</v>
      </c>
      <c r="H15" s="536">
        <v>0.11799999999999999</v>
      </c>
      <c r="I15" s="565"/>
      <c r="Z15" s="562" t="s">
        <v>349</v>
      </c>
      <c r="AA15" s="431">
        <f t="shared" si="2"/>
        <v>2212.25</v>
      </c>
      <c r="AB15" s="578">
        <f t="shared" si="3"/>
        <v>1615.1315735877372</v>
      </c>
      <c r="AD15" s="143" t="s">
        <v>366</v>
      </c>
      <c r="AE15" s="536">
        <v>3.6999999999999998E-2</v>
      </c>
      <c r="AF15" s="566">
        <f>(AE15/(SUM(AE15:AE21))*B3)</f>
        <v>416.78025477707001</v>
      </c>
      <c r="AG15" s="566">
        <f>(AE15/(SUM(AE15:AE21))*B4)</f>
        <v>177.22292993630572</v>
      </c>
      <c r="AH15" s="566">
        <f>(AE15/(SUM(AE15:AE21))*B5)</f>
        <v>315.91401273885344</v>
      </c>
      <c r="AK15" s="38"/>
      <c r="AL15" s="558"/>
      <c r="AM15" s="558"/>
      <c r="AN15" s="558"/>
      <c r="AO15" s="558"/>
      <c r="AP15" s="558"/>
      <c r="AQ15" s="559"/>
      <c r="AR15" s="558"/>
      <c r="AS15" s="38"/>
      <c r="AT15" s="560"/>
      <c r="AU15" s="560"/>
      <c r="AV15" s="560"/>
      <c r="AW15" s="560"/>
      <c r="AX15" s="560"/>
      <c r="AY15" s="560"/>
      <c r="AZ15" s="560"/>
      <c r="BA15" s="561"/>
      <c r="BB15" s="61"/>
      <c r="BC15" s="561"/>
    </row>
    <row r="16" spans="1:55">
      <c r="B16" s="564" t="s">
        <v>350</v>
      </c>
      <c r="C16" s="563">
        <v>1567</v>
      </c>
      <c r="D16" s="567">
        <v>673</v>
      </c>
      <c r="G16" s="143" t="s">
        <v>366</v>
      </c>
      <c r="H16" s="536">
        <v>2.5999999999999999E-2</v>
      </c>
      <c r="I16" s="566">
        <f>(H16/(SUM(H16:H22))*B3)</f>
        <v>278.67272727272723</v>
      </c>
      <c r="J16" s="373"/>
      <c r="K16" s="373"/>
      <c r="L16" s="373"/>
      <c r="M16" s="373"/>
      <c r="N16" s="373"/>
      <c r="O16" s="373"/>
      <c r="Z16" s="564" t="s">
        <v>350</v>
      </c>
      <c r="AA16" s="431">
        <f t="shared" si="2"/>
        <v>1650.25</v>
      </c>
      <c r="AB16" s="578">
        <f t="shared" si="3"/>
        <v>1373.4358375985389</v>
      </c>
      <c r="AD16" s="143" t="s">
        <v>367</v>
      </c>
      <c r="AE16" s="536">
        <v>4.2999999999999997E-2</v>
      </c>
      <c r="AF16" s="566">
        <f>(AE16/(SUM(AE15:AE21))*B3)</f>
        <v>484.36624203821657</v>
      </c>
      <c r="AG16" s="566">
        <f>(AE16/(SUM(AE15:AE21))*B4)</f>
        <v>205.96178343949043</v>
      </c>
      <c r="AH16" s="566">
        <f>(AE16/(SUM(AE15:AE21))*B5)</f>
        <v>367.14331210191079</v>
      </c>
    </row>
    <row r="17" spans="2:38" ht="15" customHeight="1">
      <c r="B17" s="564" t="s">
        <v>351</v>
      </c>
      <c r="C17" s="563">
        <v>1781</v>
      </c>
      <c r="D17" s="567">
        <v>568</v>
      </c>
      <c r="G17" s="143" t="s">
        <v>368</v>
      </c>
      <c r="H17" s="536">
        <v>5.7000000000000002E-2</v>
      </c>
      <c r="I17" s="566">
        <f>(H17/(SUM(H16:H22))*B3)</f>
        <v>610.93636363636369</v>
      </c>
      <c r="Z17" s="564" t="s">
        <v>351</v>
      </c>
      <c r="AA17" s="431">
        <f t="shared" si="2"/>
        <v>1588.25</v>
      </c>
      <c r="AB17" s="578">
        <f t="shared" si="3"/>
        <v>1194.5886321240464</v>
      </c>
      <c r="AD17" s="143" t="s">
        <v>409</v>
      </c>
      <c r="AE17" s="536">
        <v>3.9E-2</v>
      </c>
      <c r="AF17" s="566">
        <f>(AE17/(SUM(AE15:AE21))*B3)</f>
        <v>439.30891719745222</v>
      </c>
      <c r="AG17" s="566">
        <f>(AE17/(SUM(AE15:AE21))*B4)</f>
        <v>186.80254777070064</v>
      </c>
      <c r="AH17" s="566">
        <f>(AE17/(SUM(AE15:AE21))*B5)</f>
        <v>332.99044585987264</v>
      </c>
    </row>
    <row r="18" spans="2:38">
      <c r="B18" s="564" t="s">
        <v>352</v>
      </c>
      <c r="C18" s="563">
        <v>1174</v>
      </c>
      <c r="D18" s="567">
        <v>418</v>
      </c>
      <c r="G18" s="143" t="s">
        <v>369</v>
      </c>
      <c r="H18" s="536">
        <v>0.05</v>
      </c>
      <c r="I18" s="566">
        <f>(H18/(SUM(H16:H22))*B3)</f>
        <v>535.90909090909088</v>
      </c>
      <c r="Z18" s="564" t="s">
        <v>352</v>
      </c>
      <c r="AA18" s="431">
        <f t="shared" si="2"/>
        <v>1675.5</v>
      </c>
      <c r="AB18" s="578">
        <f t="shared" si="3"/>
        <v>1319.1485890528027</v>
      </c>
      <c r="AD18" s="143" t="s">
        <v>407</v>
      </c>
      <c r="AE18" s="536">
        <v>3.5999999999999997E-2</v>
      </c>
      <c r="AF18" s="566">
        <f>(AE18/(SUM(AE15:AE21))*B3)</f>
        <v>405.51592356687894</v>
      </c>
      <c r="AG18" s="566">
        <f>(AE18/(SUM(AE15:AE21))*B4)</f>
        <v>172.43312101910826</v>
      </c>
      <c r="AH18" s="566">
        <f>(AE18/(SUM(AE15:AE21))*B5)</f>
        <v>307.37579617834393</v>
      </c>
    </row>
    <row r="19" spans="2:38">
      <c r="B19" s="564" t="s">
        <v>353</v>
      </c>
      <c r="C19" s="563">
        <v>2524</v>
      </c>
      <c r="D19" s="567">
        <v>859</v>
      </c>
      <c r="G19" s="143" t="s">
        <v>370</v>
      </c>
      <c r="H19" s="536">
        <v>3.1E-2</v>
      </c>
      <c r="I19" s="566">
        <f>(H19/(SUM(H16:H22))*B3)</f>
        <v>332.26363636363635</v>
      </c>
      <c r="Z19" s="564" t="s">
        <v>353</v>
      </c>
      <c r="AA19" s="431">
        <f t="shared" si="2"/>
        <v>1947.75</v>
      </c>
      <c r="AB19" s="578">
        <f t="shared" si="3"/>
        <v>1311.2692324614347</v>
      </c>
      <c r="AD19" s="143" t="s">
        <v>385</v>
      </c>
      <c r="AE19" s="536">
        <v>4.3999999999999997E-2</v>
      </c>
      <c r="AF19" s="566">
        <f>(AE19/(SUM(AE15:AE21))*B3)</f>
        <v>495.63057324840764</v>
      </c>
      <c r="AG19" s="566">
        <f>(AE19/(SUM(AE15:AE21))*B4)</f>
        <v>210.75159235668789</v>
      </c>
      <c r="AH19" s="566">
        <f>(AE19/(SUM(AE15:AE21))*B5)</f>
        <v>375.68152866242036</v>
      </c>
    </row>
    <row r="20" spans="2:38" ht="15.95" customHeight="1">
      <c r="B20" s="564" t="s">
        <v>354</v>
      </c>
      <c r="C20" s="563">
        <v>2232</v>
      </c>
      <c r="D20" s="567">
        <v>729</v>
      </c>
      <c r="G20" s="143" t="s">
        <v>371</v>
      </c>
      <c r="H20" s="536">
        <v>4.2999999999999997E-2</v>
      </c>
      <c r="I20" s="566">
        <f>(H20/(SUM(H16:H22))*B3)</f>
        <v>460.88181818181812</v>
      </c>
      <c r="Z20" s="564" t="s">
        <v>354</v>
      </c>
      <c r="AA20" s="431">
        <f t="shared" si="2"/>
        <v>1760.25</v>
      </c>
      <c r="AB20" s="578">
        <f t="shared" si="3"/>
        <v>1330.3646116760624</v>
      </c>
      <c r="AD20" s="143" t="s">
        <v>408</v>
      </c>
      <c r="AE20" s="536">
        <v>3.5000000000000003E-2</v>
      </c>
      <c r="AF20" s="566">
        <f>(AE20/(SUM(AE15:AE21))*B3)</f>
        <v>394.25159235668798</v>
      </c>
      <c r="AG20" s="566">
        <f>(AE20/(SUM(AE15:AE21))*B4)</f>
        <v>167.64331210191085</v>
      </c>
      <c r="AH20" s="566">
        <f>(AE20/(SUM(AE15:AE21))*B5)</f>
        <v>298.83757961783442</v>
      </c>
    </row>
    <row r="21" spans="2:38">
      <c r="B21" s="564" t="s">
        <v>355</v>
      </c>
      <c r="C21" s="563">
        <v>1386</v>
      </c>
      <c r="D21" s="567">
        <v>530</v>
      </c>
      <c r="G21" s="143" t="s">
        <v>372</v>
      </c>
      <c r="H21" s="536">
        <v>3.7999999999999999E-2</v>
      </c>
      <c r="I21" s="566">
        <f>(H21/(SUM(H16:H22))*B3)</f>
        <v>407.29090909090905</v>
      </c>
      <c r="Z21" s="564" t="s">
        <v>355</v>
      </c>
      <c r="AA21" s="431">
        <f t="shared" si="2"/>
        <v>1628.75</v>
      </c>
      <c r="AB21" s="578">
        <f t="shared" si="3"/>
        <v>1129.5353026798232</v>
      </c>
      <c r="AD21" s="143" t="s">
        <v>379</v>
      </c>
      <c r="AE21" s="536">
        <v>0.08</v>
      </c>
      <c r="AF21" s="566">
        <f>(AE21/(SUM(AE15:AE21))*B3)</f>
        <v>901.14649681528658</v>
      </c>
      <c r="AG21" s="566">
        <f>(AE21/(SUM(AE15:AE21))*B4)</f>
        <v>383.18471337579615</v>
      </c>
      <c r="AH21" s="566">
        <f>(AE21/(SUM(AE15:AE21))*B5)</f>
        <v>683.0573248407643</v>
      </c>
    </row>
    <row r="22" spans="2:38">
      <c r="B22" s="564" t="s">
        <v>356</v>
      </c>
      <c r="C22" s="563">
        <v>1923</v>
      </c>
      <c r="D22" s="567">
        <v>556</v>
      </c>
      <c r="G22" s="143" t="s">
        <v>373</v>
      </c>
      <c r="H22" s="536">
        <v>8.5000000000000006E-2</v>
      </c>
      <c r="I22" s="566">
        <f>(H22/(SUM(H16:H22))*B3)</f>
        <v>911.0454545454545</v>
      </c>
      <c r="Z22" s="564" t="s">
        <v>356</v>
      </c>
      <c r="AA22" s="431">
        <f t="shared" si="2"/>
        <v>1974.5</v>
      </c>
      <c r="AB22" s="578">
        <f t="shared" si="3"/>
        <v>1190.5103947467237</v>
      </c>
      <c r="AD22" s="582" t="s">
        <v>380</v>
      </c>
      <c r="AE22" s="536">
        <v>0.56599999999999995</v>
      </c>
      <c r="AF22" s="568"/>
      <c r="AG22" s="568"/>
      <c r="AH22" s="568"/>
    </row>
    <row r="23" spans="2:38">
      <c r="B23" s="564" t="s">
        <v>357</v>
      </c>
      <c r="C23" s="563">
        <v>1693</v>
      </c>
      <c r="D23" s="567">
        <v>644</v>
      </c>
      <c r="G23" s="143" t="s">
        <v>374</v>
      </c>
      <c r="H23" s="536">
        <v>0.55200000000000005</v>
      </c>
      <c r="I23" s="568"/>
      <c r="Z23" s="564" t="s">
        <v>357</v>
      </c>
      <c r="AA23" s="431">
        <f t="shared" si="2"/>
        <v>1570.75</v>
      </c>
      <c r="AB23" s="578">
        <f t="shared" si="3"/>
        <v>1217.1154423471917</v>
      </c>
    </row>
    <row r="24" spans="2:38">
      <c r="B24" s="564" t="s">
        <v>358</v>
      </c>
      <c r="C24" s="563">
        <v>3805</v>
      </c>
      <c r="D24" s="567">
        <v>820</v>
      </c>
      <c r="Z24" s="564" t="s">
        <v>358</v>
      </c>
      <c r="AA24" s="431">
        <f t="shared" si="2"/>
        <v>3596</v>
      </c>
      <c r="AB24" s="578">
        <f t="shared" si="3"/>
        <v>1608.0649862490011</v>
      </c>
    </row>
    <row r="25" spans="2:38">
      <c r="B25" s="564" t="s">
        <v>359</v>
      </c>
      <c r="C25" s="563">
        <v>4578</v>
      </c>
      <c r="D25" s="567">
        <v>866</v>
      </c>
      <c r="Z25" s="564" t="s">
        <v>359</v>
      </c>
      <c r="AA25" s="431">
        <f t="shared" si="2"/>
        <v>4657</v>
      </c>
      <c r="AB25" s="578">
        <f t="shared" si="3"/>
        <v>1632.5091117663019</v>
      </c>
    </row>
    <row r="26" spans="2:38">
      <c r="B26" s="564" t="s">
        <v>360</v>
      </c>
      <c r="C26" s="563">
        <v>6376</v>
      </c>
      <c r="D26" s="567">
        <v>955</v>
      </c>
      <c r="Z26" s="564" t="s">
        <v>360</v>
      </c>
      <c r="AA26" s="431">
        <f t="shared" si="2"/>
        <v>6849</v>
      </c>
      <c r="AB26" s="578">
        <f t="shared" si="3"/>
        <v>2224.9768538121921</v>
      </c>
      <c r="AD26" t="s">
        <v>411</v>
      </c>
      <c r="AE26" t="s">
        <v>412</v>
      </c>
      <c r="AH26" s="143" t="s">
        <v>234</v>
      </c>
      <c r="AI26" s="143" t="s">
        <v>601</v>
      </c>
      <c r="AJ26" s="143" t="s">
        <v>598</v>
      </c>
      <c r="AK26" s="143" t="s">
        <v>602</v>
      </c>
      <c r="AL26" s="143" t="s">
        <v>603</v>
      </c>
    </row>
    <row r="27" spans="2:38">
      <c r="B27" s="564" t="s">
        <v>361</v>
      </c>
      <c r="C27" s="563">
        <v>5277</v>
      </c>
      <c r="D27" s="567">
        <v>951</v>
      </c>
      <c r="Z27" s="564" t="s">
        <v>361</v>
      </c>
      <c r="AA27" s="431">
        <f t="shared" si="2"/>
        <v>4877.25</v>
      </c>
      <c r="AB27" s="578">
        <f t="shared" si="3"/>
        <v>1826.6368002424565</v>
      </c>
      <c r="AD27" s="143" t="s">
        <v>366</v>
      </c>
      <c r="AE27" s="566">
        <v>416.78025477707001</v>
      </c>
      <c r="AH27" s="143" t="s">
        <v>366</v>
      </c>
      <c r="AI27" s="566">
        <v>177.22292993630572</v>
      </c>
      <c r="AJ27" s="566">
        <v>315.91401273885344</v>
      </c>
      <c r="AK27" s="143"/>
      <c r="AL27" s="143"/>
    </row>
    <row r="28" spans="2:38">
      <c r="B28" s="564" t="s">
        <v>362</v>
      </c>
      <c r="C28" s="563">
        <v>2538</v>
      </c>
      <c r="D28" s="567">
        <v>642</v>
      </c>
      <c r="Z28" s="564" t="s">
        <v>362</v>
      </c>
      <c r="AA28" s="431">
        <f t="shared" si="2"/>
        <v>3168.5</v>
      </c>
      <c r="AB28" s="578">
        <f t="shared" si="3"/>
        <v>1483.7739046094591</v>
      </c>
      <c r="AD28" s="143" t="s">
        <v>367</v>
      </c>
      <c r="AE28" s="566">
        <v>484.36624203821657</v>
      </c>
      <c r="AH28" s="143" t="s">
        <v>367</v>
      </c>
      <c r="AI28" s="566">
        <v>205.96178343949043</v>
      </c>
      <c r="AJ28" s="566">
        <v>367.14331210191079</v>
      </c>
      <c r="AK28" s="143">
        <f>'AH Stock Tracking &amp; Buildt tD'!O28/2</f>
        <v>31</v>
      </c>
      <c r="AL28" s="143"/>
    </row>
    <row r="29" spans="2:38">
      <c r="B29" s="564" t="s">
        <v>363</v>
      </c>
      <c r="C29" s="563">
        <v>3037</v>
      </c>
      <c r="D29" s="567">
        <v>684</v>
      </c>
      <c r="Z29" s="564" t="s">
        <v>363</v>
      </c>
      <c r="AA29" s="431">
        <f t="shared" si="2"/>
        <v>3060.5</v>
      </c>
      <c r="AB29" s="578">
        <f t="shared" si="3"/>
        <v>1369.690475983534</v>
      </c>
      <c r="AD29" s="143" t="s">
        <v>409</v>
      </c>
      <c r="AE29" s="566">
        <v>439.30891719745222</v>
      </c>
      <c r="AH29" s="143" t="s">
        <v>409</v>
      </c>
      <c r="AI29" s="566">
        <v>186.80254777070064</v>
      </c>
      <c r="AJ29" s="566">
        <v>332.99044585987264</v>
      </c>
      <c r="AK29" s="143">
        <f>'AH Stock Tracking &amp; Buildt tD'!O28/2</f>
        <v>31</v>
      </c>
      <c r="AL29" s="143"/>
    </row>
    <row r="30" spans="2:38">
      <c r="B30" s="564" t="s">
        <v>364</v>
      </c>
      <c r="C30" s="563">
        <v>2826</v>
      </c>
      <c r="D30" s="567">
        <v>600</v>
      </c>
      <c r="Z30" s="564" t="s">
        <v>364</v>
      </c>
      <c r="AA30" s="431">
        <f t="shared" si="2"/>
        <v>2984</v>
      </c>
      <c r="AB30" s="578">
        <f t="shared" si="3"/>
        <v>1241.4257931910388</v>
      </c>
      <c r="AD30" s="143" t="s">
        <v>407</v>
      </c>
      <c r="AE30" s="566">
        <v>405.51592356687894</v>
      </c>
      <c r="AH30" s="143" t="s">
        <v>407</v>
      </c>
      <c r="AI30" s="566">
        <v>172.43312101910826</v>
      </c>
      <c r="AJ30" s="566">
        <v>307.37579617834393</v>
      </c>
      <c r="AK30" s="566">
        <f>'AH Stock Tracking &amp; Buildt tD'!P28</f>
        <v>794</v>
      </c>
      <c r="AL30" s="143"/>
    </row>
    <row r="31" spans="2:38" ht="15.95" customHeight="1">
      <c r="AD31" s="143" t="s">
        <v>385</v>
      </c>
      <c r="AE31" s="566">
        <v>495.63057324840764</v>
      </c>
      <c r="AH31" s="143" t="s">
        <v>385</v>
      </c>
      <c r="AI31" s="566">
        <v>210.75159235668789</v>
      </c>
      <c r="AJ31" s="566">
        <v>375.68152866242036</v>
      </c>
      <c r="AK31" s="143"/>
      <c r="AL31" s="143"/>
    </row>
    <row r="32" spans="2:38">
      <c r="AD32" s="143" t="s">
        <v>408</v>
      </c>
      <c r="AE32" s="566">
        <v>394.25159235668798</v>
      </c>
      <c r="AH32" s="143" t="s">
        <v>408</v>
      </c>
      <c r="AI32" s="566">
        <v>167.64331210191085</v>
      </c>
      <c r="AJ32" s="566">
        <v>298.83757961783442</v>
      </c>
      <c r="AK32" s="143"/>
      <c r="AL32" s="143"/>
    </row>
    <row r="33" spans="30:38">
      <c r="AD33" s="143" t="s">
        <v>379</v>
      </c>
      <c r="AE33" s="566">
        <v>901.14649681528658</v>
      </c>
      <c r="AH33" s="143" t="s">
        <v>379</v>
      </c>
      <c r="AI33" s="566">
        <v>383.18471337579615</v>
      </c>
      <c r="AJ33" s="566">
        <v>683.0573248407643</v>
      </c>
      <c r="AK33" s="143"/>
      <c r="AL33" s="143"/>
    </row>
    <row r="50" spans="2:50" ht="15.75" thickBot="1"/>
    <row r="51" spans="2:50" ht="15.95" customHeight="1" thickBot="1">
      <c r="B51" s="534">
        <v>2015</v>
      </c>
      <c r="C51" s="569" t="s">
        <v>342</v>
      </c>
      <c r="D51" s="570" t="s">
        <v>343</v>
      </c>
      <c r="F51" s="546" t="s">
        <v>234</v>
      </c>
      <c r="G51" s="547" t="s">
        <v>235</v>
      </c>
      <c r="H51" s="547" t="s">
        <v>236</v>
      </c>
      <c r="I51" s="547" t="s">
        <v>237</v>
      </c>
      <c r="J51" s="547" t="s">
        <v>238</v>
      </c>
      <c r="K51" s="547" t="s">
        <v>239</v>
      </c>
      <c r="L51" s="547" t="s">
        <v>240</v>
      </c>
      <c r="M51" s="547" t="s">
        <v>241</v>
      </c>
      <c r="N51" s="547" t="s">
        <v>242</v>
      </c>
      <c r="O51" s="547" t="s">
        <v>243</v>
      </c>
      <c r="P51" s="547" t="s">
        <v>244</v>
      </c>
      <c r="Q51" s="547" t="s">
        <v>245</v>
      </c>
      <c r="R51" s="547" t="s">
        <v>246</v>
      </c>
      <c r="S51" s="547" t="s">
        <v>247</v>
      </c>
      <c r="T51" s="547" t="s">
        <v>248</v>
      </c>
      <c r="U51" s="547" t="s">
        <v>249</v>
      </c>
      <c r="V51" s="548" t="s">
        <v>250</v>
      </c>
    </row>
    <row r="52" spans="2:50" ht="15" customHeight="1">
      <c r="B52" s="549" t="s">
        <v>257</v>
      </c>
      <c r="C52" s="522">
        <v>112216</v>
      </c>
      <c r="D52" s="535"/>
      <c r="F52" s="546" t="s">
        <v>251</v>
      </c>
      <c r="G52" s="531">
        <f>0.3*C54</f>
        <v>19902</v>
      </c>
      <c r="H52" s="531">
        <f>0.35*C54</f>
        <v>23219</v>
      </c>
      <c r="I52" s="531">
        <f>0.4*C54</f>
        <v>26536</v>
      </c>
      <c r="J52" s="531">
        <f>0.45*C54</f>
        <v>29853</v>
      </c>
      <c r="K52" s="531">
        <f>0.5*C54</f>
        <v>33170</v>
      </c>
      <c r="L52" s="531">
        <f>0.55*C54</f>
        <v>36487</v>
      </c>
      <c r="M52" s="531">
        <f>0.6*C54</f>
        <v>39804</v>
      </c>
      <c r="N52" s="531">
        <f>0.65*C54</f>
        <v>43121</v>
      </c>
      <c r="O52" s="531">
        <f>0.7*C54</f>
        <v>46438</v>
      </c>
      <c r="P52" s="531">
        <f>0.75*C54</f>
        <v>49755</v>
      </c>
      <c r="Q52" s="531">
        <f>0.8*C54</f>
        <v>53072</v>
      </c>
      <c r="R52" s="531">
        <f>0.85*C54</f>
        <v>56389</v>
      </c>
      <c r="S52" s="531">
        <f>0.9*C54</f>
        <v>59706</v>
      </c>
      <c r="T52" s="531">
        <f>0.95*C54</f>
        <v>63023</v>
      </c>
      <c r="U52" s="531">
        <f>1*C54</f>
        <v>66340</v>
      </c>
      <c r="V52" s="531"/>
      <c r="AR52" s="1"/>
      <c r="AS52" s="1"/>
      <c r="AT52" s="1"/>
      <c r="AU52" s="1"/>
      <c r="AV52" s="1"/>
      <c r="AW52" s="1"/>
      <c r="AX52" s="1"/>
    </row>
    <row r="53" spans="2:50">
      <c r="B53" s="547" t="s">
        <v>258</v>
      </c>
      <c r="C53" s="529">
        <v>43018</v>
      </c>
      <c r="D53" s="530">
        <v>1187</v>
      </c>
      <c r="F53" s="546" t="s">
        <v>348</v>
      </c>
      <c r="G53" s="531">
        <f t="shared" ref="G53:V53" si="4">MROUND(G52,5000)</f>
        <v>20000</v>
      </c>
      <c r="H53" s="531">
        <f t="shared" si="4"/>
        <v>25000</v>
      </c>
      <c r="I53" s="531">
        <f t="shared" si="4"/>
        <v>25000</v>
      </c>
      <c r="J53" s="531">
        <f t="shared" si="4"/>
        <v>30000</v>
      </c>
      <c r="K53" s="531">
        <f t="shared" si="4"/>
        <v>35000</v>
      </c>
      <c r="L53" s="531">
        <f t="shared" si="4"/>
        <v>35000</v>
      </c>
      <c r="M53" s="531">
        <f t="shared" si="4"/>
        <v>40000</v>
      </c>
      <c r="N53" s="531">
        <f t="shared" si="4"/>
        <v>45000</v>
      </c>
      <c r="O53" s="531">
        <f t="shared" si="4"/>
        <v>45000</v>
      </c>
      <c r="P53" s="531">
        <f t="shared" si="4"/>
        <v>50000</v>
      </c>
      <c r="Q53" s="531">
        <f t="shared" si="4"/>
        <v>55000</v>
      </c>
      <c r="R53" s="531">
        <f t="shared" si="4"/>
        <v>55000</v>
      </c>
      <c r="S53" s="531">
        <f t="shared" si="4"/>
        <v>60000</v>
      </c>
      <c r="T53" s="531">
        <f t="shared" si="4"/>
        <v>65000</v>
      </c>
      <c r="U53" s="531">
        <f t="shared" si="4"/>
        <v>65000</v>
      </c>
      <c r="V53" s="531">
        <f t="shared" si="4"/>
        <v>0</v>
      </c>
      <c r="AR53" s="1"/>
      <c r="AS53" s="1"/>
      <c r="AT53" s="1"/>
      <c r="AU53" s="1"/>
      <c r="AV53" s="1"/>
      <c r="AW53" s="1"/>
      <c r="AX53" s="1"/>
    </row>
    <row r="54" spans="2:50">
      <c r="B54" s="547" t="s">
        <v>261</v>
      </c>
      <c r="C54" s="529">
        <v>66340</v>
      </c>
      <c r="D54" s="530">
        <v>2635</v>
      </c>
      <c r="F54" s="546" t="s">
        <v>252</v>
      </c>
      <c r="G54" s="550">
        <f>SUM(C58:C60)</f>
        <v>6066</v>
      </c>
      <c r="H54" s="921">
        <f>SUM(C61)</f>
        <v>1730</v>
      </c>
      <c r="I54" s="922"/>
      <c r="J54" s="550">
        <f>SUM(C62)</f>
        <v>1860</v>
      </c>
      <c r="K54" s="921">
        <f>SUM(C63)</f>
        <v>1764</v>
      </c>
      <c r="L54" s="922"/>
      <c r="M54" s="550">
        <f>SUM(C64)</f>
        <v>1761</v>
      </c>
      <c r="N54" s="921">
        <f>SUM(C65)</f>
        <v>1787</v>
      </c>
      <c r="O54" s="922"/>
      <c r="P54" s="550">
        <f>SUM(C66)</f>
        <v>1125</v>
      </c>
      <c r="Q54" s="921">
        <f>SUM(C67)</f>
        <v>3117</v>
      </c>
      <c r="R54" s="923"/>
      <c r="S54" s="924"/>
      <c r="T54" s="921">
        <f>SUM(C68:C73)</f>
        <v>23808</v>
      </c>
      <c r="U54" s="925"/>
      <c r="V54" s="922"/>
      <c r="AR54" s="1"/>
      <c r="AS54" s="1"/>
      <c r="AT54" s="1"/>
      <c r="AU54" s="1"/>
      <c r="AV54" s="1"/>
      <c r="AW54" s="1"/>
      <c r="AX54" s="1"/>
    </row>
    <row r="55" spans="2:50">
      <c r="C55" s="11"/>
      <c r="D55" s="17"/>
      <c r="F55" s="546" t="s">
        <v>253</v>
      </c>
      <c r="G55" s="537">
        <f>G54/C53</f>
        <v>0.14101073969036218</v>
      </c>
      <c r="H55" s="914">
        <f>H54/C53</f>
        <v>4.0215723650564882E-2</v>
      </c>
      <c r="I55" s="916"/>
      <c r="J55" s="537">
        <f>J54/C53</f>
        <v>4.3237714445115996E-2</v>
      </c>
      <c r="K55" s="914">
        <f>K54/C53</f>
        <v>4.1006090473755169E-2</v>
      </c>
      <c r="L55" s="916"/>
      <c r="M55" s="537">
        <f>M54/C53</f>
        <v>4.0936352224650148E-2</v>
      </c>
      <c r="N55" s="914">
        <f>N54/C53</f>
        <v>4.1540750383560372E-2</v>
      </c>
      <c r="O55" s="916"/>
      <c r="P55" s="537">
        <f>P54/C53</f>
        <v>2.6151843414384677E-2</v>
      </c>
      <c r="Q55" s="914">
        <f>Q54/C53</f>
        <v>7.2458040820121805E-2</v>
      </c>
      <c r="R55" s="915"/>
      <c r="S55" s="916"/>
      <c r="T55" s="914">
        <f>T54/C53</f>
        <v>0.5534427448974848</v>
      </c>
      <c r="U55" s="915"/>
      <c r="V55" s="916"/>
      <c r="AV55" s="1"/>
      <c r="AW55" s="1"/>
      <c r="AX55" s="1"/>
    </row>
    <row r="56" spans="2:50" ht="15.75" thickBot="1">
      <c r="B56" s="552" t="s">
        <v>406</v>
      </c>
      <c r="C56" s="543" t="s">
        <v>401</v>
      </c>
      <c r="D56" s="543" t="s">
        <v>402</v>
      </c>
      <c r="AV56" s="1"/>
      <c r="AW56" s="1"/>
      <c r="AX56" s="1"/>
    </row>
    <row r="57" spans="2:50" ht="15.75" thickBot="1">
      <c r="B57" s="553" t="s">
        <v>400</v>
      </c>
      <c r="C57" s="571">
        <v>43018</v>
      </c>
      <c r="D57" s="567">
        <v>1187</v>
      </c>
      <c r="G57" s="555" t="s">
        <v>254</v>
      </c>
      <c r="H57" s="556" t="s">
        <v>392</v>
      </c>
      <c r="I57" s="557" t="s">
        <v>390</v>
      </c>
      <c r="AV57" s="1"/>
      <c r="AW57" s="1"/>
      <c r="AX57" s="1"/>
    </row>
    <row r="58" spans="2:50">
      <c r="B58" s="564" t="s">
        <v>349</v>
      </c>
      <c r="C58" s="571">
        <v>2658</v>
      </c>
      <c r="D58" s="567">
        <v>836</v>
      </c>
      <c r="F58" s="572" t="s">
        <v>382</v>
      </c>
      <c r="G58" s="143" t="s">
        <v>365</v>
      </c>
      <c r="H58" s="536">
        <v>0.14099999999999999</v>
      </c>
      <c r="I58" s="565"/>
      <c r="AV58" s="1"/>
      <c r="AW58" s="1"/>
      <c r="AX58" s="1"/>
    </row>
    <row r="59" spans="2:50">
      <c r="B59" s="564" t="s">
        <v>350</v>
      </c>
      <c r="C59" s="571">
        <v>2098</v>
      </c>
      <c r="D59" s="567">
        <v>730</v>
      </c>
      <c r="G59" s="143" t="s">
        <v>366</v>
      </c>
      <c r="H59" s="536">
        <v>0.04</v>
      </c>
      <c r="I59" s="566">
        <f>(H59/(SUM(H59:H65))*B3)</f>
        <v>463.86885245901641</v>
      </c>
      <c r="AV59" s="1"/>
      <c r="AW59" s="1"/>
      <c r="AX59" s="1"/>
    </row>
    <row r="60" spans="2:50">
      <c r="B60" s="564" t="s">
        <v>351</v>
      </c>
      <c r="C60" s="571">
        <v>1310</v>
      </c>
      <c r="D60" s="567">
        <v>537</v>
      </c>
      <c r="G60" s="143" t="s">
        <v>367</v>
      </c>
      <c r="H60" s="536">
        <v>4.2999999999999997E-2</v>
      </c>
      <c r="I60" s="566">
        <f>(H60/(SUM(H59:H65))*B3)</f>
        <v>498.65901639344258</v>
      </c>
      <c r="AV60" s="1"/>
      <c r="AW60" s="1"/>
      <c r="AX60" s="1"/>
    </row>
    <row r="61" spans="2:50">
      <c r="B61" s="564" t="s">
        <v>352</v>
      </c>
      <c r="C61" s="571">
        <v>1730</v>
      </c>
      <c r="D61" s="567">
        <v>647</v>
      </c>
      <c r="G61" s="143" t="s">
        <v>375</v>
      </c>
      <c r="H61" s="536">
        <v>4.1000000000000002E-2</v>
      </c>
      <c r="I61" s="566">
        <f>(H61/(SUM(H59:H65))*B3)</f>
        <v>475.46557377049186</v>
      </c>
      <c r="AV61" s="1"/>
      <c r="AW61" s="1"/>
      <c r="AX61" s="1"/>
    </row>
    <row r="62" spans="2:50">
      <c r="B62" s="564" t="s">
        <v>353</v>
      </c>
      <c r="C62" s="571">
        <v>1860</v>
      </c>
      <c r="D62" s="567">
        <v>505</v>
      </c>
      <c r="G62" s="143" t="s">
        <v>376</v>
      </c>
      <c r="H62" s="536">
        <v>4.1000000000000002E-2</v>
      </c>
      <c r="I62" s="566">
        <f>(H62/(SUM(H59:H65))*B3)</f>
        <v>475.46557377049186</v>
      </c>
      <c r="AV62" s="1"/>
      <c r="AW62" s="1"/>
      <c r="AX62" s="1"/>
    </row>
    <row r="63" spans="2:50">
      <c r="B63" s="564" t="s">
        <v>354</v>
      </c>
      <c r="C63" s="571">
        <v>1764</v>
      </c>
      <c r="D63" s="567">
        <v>619</v>
      </c>
      <c r="G63" s="143" t="s">
        <v>377</v>
      </c>
      <c r="H63" s="536">
        <v>4.2000000000000003E-2</v>
      </c>
      <c r="I63" s="566">
        <f>(H63/(SUM(H59:H65))*B3)</f>
        <v>487.06229508196725</v>
      </c>
      <c r="AV63" s="1"/>
      <c r="AW63" s="1"/>
      <c r="AX63" s="1"/>
    </row>
    <row r="64" spans="2:50">
      <c r="B64" s="564" t="s">
        <v>355</v>
      </c>
      <c r="C64" s="571">
        <v>1761</v>
      </c>
      <c r="D64" s="567">
        <v>582</v>
      </c>
      <c r="G64" s="143" t="s">
        <v>378</v>
      </c>
      <c r="H64" s="536">
        <v>2.5999999999999999E-2</v>
      </c>
      <c r="I64" s="566">
        <f>(H64/(SUM(H59:H65))*B3)</f>
        <v>301.51475409836064</v>
      </c>
      <c r="AV64" s="1"/>
      <c r="AW64" s="1"/>
      <c r="AX64" s="1"/>
    </row>
    <row r="65" spans="2:9">
      <c r="B65" s="564" t="s">
        <v>356</v>
      </c>
      <c r="C65" s="571">
        <v>1787</v>
      </c>
      <c r="D65" s="567">
        <v>565</v>
      </c>
      <c r="G65" s="143" t="s">
        <v>379</v>
      </c>
      <c r="H65" s="536">
        <v>7.1999999999999995E-2</v>
      </c>
      <c r="I65" s="566">
        <f>(H65/(SUM(H59:H65))*B3)</f>
        <v>834.96393442622946</v>
      </c>
    </row>
    <row r="66" spans="2:9">
      <c r="B66" s="564" t="s">
        <v>357</v>
      </c>
      <c r="C66" s="571">
        <v>1125</v>
      </c>
      <c r="D66" s="567">
        <v>393</v>
      </c>
      <c r="G66" s="143" t="s">
        <v>380</v>
      </c>
      <c r="H66" s="536">
        <v>0.55300000000000005</v>
      </c>
      <c r="I66" s="568"/>
    </row>
    <row r="67" spans="2:9">
      <c r="B67" s="564" t="s">
        <v>358</v>
      </c>
      <c r="C67" s="571">
        <v>3117</v>
      </c>
      <c r="D67" s="567">
        <v>719</v>
      </c>
    </row>
    <row r="68" spans="2:9">
      <c r="B68" s="564" t="s">
        <v>359</v>
      </c>
      <c r="C68" s="571">
        <v>4764</v>
      </c>
      <c r="D68" s="567">
        <v>835</v>
      </c>
    </row>
    <row r="69" spans="2:9">
      <c r="B69" s="564" t="s">
        <v>360</v>
      </c>
      <c r="C69" s="571">
        <v>6440</v>
      </c>
      <c r="D69" s="567">
        <v>1012</v>
      </c>
    </row>
    <row r="70" spans="2:9">
      <c r="B70" s="564" t="s">
        <v>361</v>
      </c>
      <c r="C70" s="571">
        <v>4162</v>
      </c>
      <c r="D70" s="567">
        <v>740</v>
      </c>
    </row>
    <row r="71" spans="2:9">
      <c r="B71" s="564" t="s">
        <v>362</v>
      </c>
      <c r="C71" s="571">
        <v>2911</v>
      </c>
      <c r="D71" s="567">
        <v>594</v>
      </c>
    </row>
    <row r="72" spans="2:9">
      <c r="B72" s="564" t="s">
        <v>363</v>
      </c>
      <c r="C72" s="571">
        <v>2601</v>
      </c>
      <c r="D72" s="567">
        <v>584</v>
      </c>
    </row>
    <row r="73" spans="2:9">
      <c r="B73" s="564" t="s">
        <v>364</v>
      </c>
      <c r="C73" s="571">
        <v>2930</v>
      </c>
      <c r="D73" s="567">
        <v>643</v>
      </c>
    </row>
    <row r="77" spans="2:9" ht="15" customHeight="1"/>
    <row r="82" spans="2:22" ht="15.75" thickBot="1"/>
    <row r="83" spans="2:22" ht="15.75" thickBot="1">
      <c r="B83" s="534">
        <v>2016</v>
      </c>
      <c r="C83" s="569" t="s">
        <v>342</v>
      </c>
      <c r="D83" s="570" t="s">
        <v>343</v>
      </c>
      <c r="F83" s="546" t="s">
        <v>234</v>
      </c>
      <c r="G83" s="547" t="s">
        <v>235</v>
      </c>
      <c r="H83" s="547" t="s">
        <v>236</v>
      </c>
      <c r="I83" s="547" t="s">
        <v>237</v>
      </c>
      <c r="J83" s="547" t="s">
        <v>238</v>
      </c>
      <c r="K83" s="547" t="s">
        <v>239</v>
      </c>
      <c r="L83" s="547" t="s">
        <v>240</v>
      </c>
      <c r="M83" s="547" t="s">
        <v>241</v>
      </c>
      <c r="N83" s="547" t="s">
        <v>242</v>
      </c>
      <c r="O83" s="547" t="s">
        <v>243</v>
      </c>
      <c r="P83" s="547" t="s">
        <v>244</v>
      </c>
      <c r="Q83" s="547" t="s">
        <v>245</v>
      </c>
      <c r="R83" s="547" t="s">
        <v>246</v>
      </c>
      <c r="S83" s="547" t="s">
        <v>247</v>
      </c>
      <c r="T83" s="547" t="s">
        <v>248</v>
      </c>
      <c r="U83" s="547" t="s">
        <v>249</v>
      </c>
      <c r="V83" s="548" t="s">
        <v>250</v>
      </c>
    </row>
    <row r="84" spans="2:22">
      <c r="B84" s="549" t="s">
        <v>257</v>
      </c>
      <c r="C84" s="522">
        <v>114008</v>
      </c>
      <c r="D84" s="535"/>
      <c r="F84" s="546" t="s">
        <v>251</v>
      </c>
      <c r="G84" s="531">
        <f>0.3*C86</f>
        <v>20313.599999999999</v>
      </c>
      <c r="H84" s="531">
        <f>0.35*C86</f>
        <v>23699.199999999997</v>
      </c>
      <c r="I84" s="531">
        <f>0.4*C86</f>
        <v>27084.800000000003</v>
      </c>
      <c r="J84" s="531">
        <f>0.45*C86</f>
        <v>30470.400000000001</v>
      </c>
      <c r="K84" s="531">
        <f>0.5*C86</f>
        <v>33856</v>
      </c>
      <c r="L84" s="531">
        <f>0.55*C86</f>
        <v>37241.600000000006</v>
      </c>
      <c r="M84" s="531">
        <f>0.6*C86</f>
        <v>40627.199999999997</v>
      </c>
      <c r="N84" s="531">
        <f>0.65*C86</f>
        <v>44012.800000000003</v>
      </c>
      <c r="O84" s="531">
        <f>0.7*C86</f>
        <v>47398.399999999994</v>
      </c>
      <c r="P84" s="531">
        <f>0.75*C86</f>
        <v>50784</v>
      </c>
      <c r="Q84" s="531">
        <f>0.8*C86</f>
        <v>54169.600000000006</v>
      </c>
      <c r="R84" s="531">
        <f>0.85*C86</f>
        <v>57555.199999999997</v>
      </c>
      <c r="S84" s="531">
        <f>0.9*C86</f>
        <v>60940.800000000003</v>
      </c>
      <c r="T84" s="531">
        <f>0.95*C86</f>
        <v>64326.399999999994</v>
      </c>
      <c r="U84" s="531">
        <f>1*C86</f>
        <v>67712</v>
      </c>
      <c r="V84" s="531"/>
    </row>
    <row r="85" spans="2:22">
      <c r="B85" s="547" t="s">
        <v>258</v>
      </c>
      <c r="C85" s="529">
        <v>46478</v>
      </c>
      <c r="D85" s="530">
        <v>1171</v>
      </c>
      <c r="F85" s="546" t="s">
        <v>348</v>
      </c>
      <c r="G85" s="531">
        <f t="shared" ref="G85:V85" si="5">MROUND(G84,5000)</f>
        <v>20000</v>
      </c>
      <c r="H85" s="531">
        <f t="shared" si="5"/>
        <v>25000</v>
      </c>
      <c r="I85" s="531">
        <f t="shared" si="5"/>
        <v>25000</v>
      </c>
      <c r="J85" s="531">
        <f t="shared" si="5"/>
        <v>30000</v>
      </c>
      <c r="K85" s="531">
        <f t="shared" si="5"/>
        <v>35000</v>
      </c>
      <c r="L85" s="531">
        <f t="shared" si="5"/>
        <v>35000</v>
      </c>
      <c r="M85" s="531">
        <f t="shared" si="5"/>
        <v>40000</v>
      </c>
      <c r="N85" s="531">
        <f t="shared" si="5"/>
        <v>45000</v>
      </c>
      <c r="O85" s="531">
        <f t="shared" si="5"/>
        <v>45000</v>
      </c>
      <c r="P85" s="531">
        <f t="shared" si="5"/>
        <v>50000</v>
      </c>
      <c r="Q85" s="531">
        <f t="shared" si="5"/>
        <v>55000</v>
      </c>
      <c r="R85" s="531">
        <f t="shared" si="5"/>
        <v>60000</v>
      </c>
      <c r="S85" s="531">
        <f t="shared" si="5"/>
        <v>60000</v>
      </c>
      <c r="T85" s="531">
        <f t="shared" si="5"/>
        <v>65000</v>
      </c>
      <c r="U85" s="531">
        <f t="shared" si="5"/>
        <v>70000</v>
      </c>
      <c r="V85" s="531">
        <f t="shared" si="5"/>
        <v>0</v>
      </c>
    </row>
    <row r="86" spans="2:22">
      <c r="B86" s="547" t="s">
        <v>261</v>
      </c>
      <c r="C86" s="529">
        <v>67712</v>
      </c>
      <c r="D86" s="530">
        <v>6647</v>
      </c>
      <c r="F86" s="546" t="s">
        <v>252</v>
      </c>
      <c r="G86" s="550">
        <f>SUM(C90:C92)</f>
        <v>5361</v>
      </c>
      <c r="H86" s="921">
        <f>SUM(C93)</f>
        <v>2262</v>
      </c>
      <c r="I86" s="922"/>
      <c r="J86" s="550">
        <f>SUM(C94)</f>
        <v>1574</v>
      </c>
      <c r="K86" s="921">
        <f>SUM(C95)</f>
        <v>1964</v>
      </c>
      <c r="L86" s="922"/>
      <c r="M86" s="550">
        <f>SUM(C96)</f>
        <v>2308</v>
      </c>
      <c r="N86" s="921">
        <f>SUM(C97)</f>
        <v>2246</v>
      </c>
      <c r="O86" s="922"/>
      <c r="P86" s="550">
        <f>SUM(C98)</f>
        <v>2224</v>
      </c>
      <c r="Q86" s="921">
        <f>SUM(C99)</f>
        <v>3017</v>
      </c>
      <c r="R86" s="925"/>
      <c r="S86" s="922"/>
      <c r="T86" s="921">
        <f>SUM(C100:C105)</f>
        <v>25522</v>
      </c>
      <c r="U86" s="925"/>
      <c r="V86" s="922"/>
    </row>
    <row r="87" spans="2:22">
      <c r="C87" s="11"/>
      <c r="D87" s="17"/>
      <c r="F87" s="546" t="s">
        <v>253</v>
      </c>
      <c r="G87" s="537">
        <f>G86/C85</f>
        <v>0.11534489435862129</v>
      </c>
      <c r="H87" s="914">
        <f>H86/C85</f>
        <v>4.8668187099272772E-2</v>
      </c>
      <c r="I87" s="916"/>
      <c r="J87" s="537">
        <f>J86/C85</f>
        <v>3.3865484745470978E-2</v>
      </c>
      <c r="K87" s="914">
        <f>K86/C85</f>
        <v>4.22565514867249E-2</v>
      </c>
      <c r="L87" s="916"/>
      <c r="M87" s="537">
        <f>M86/C85</f>
        <v>4.9657902663625804E-2</v>
      </c>
      <c r="N87" s="914">
        <f>N86/C85</f>
        <v>4.8323938207323898E-2</v>
      </c>
      <c r="O87" s="916"/>
      <c r="P87" s="537">
        <f>P86/C85</f>
        <v>4.7850595980894188E-2</v>
      </c>
      <c r="Q87" s="914">
        <f>Q86/C85</f>
        <v>6.4912431688110506E-2</v>
      </c>
      <c r="R87" s="915"/>
      <c r="S87" s="916"/>
      <c r="T87" s="914">
        <f>T86/C85</f>
        <v>0.54912001376995567</v>
      </c>
      <c r="U87" s="915"/>
      <c r="V87" s="916"/>
    </row>
    <row r="88" spans="2:22" ht="15.75" thickBot="1">
      <c r="B88" s="552" t="s">
        <v>405</v>
      </c>
      <c r="C88" s="543" t="s">
        <v>401</v>
      </c>
      <c r="D88" s="543" t="s">
        <v>402</v>
      </c>
    </row>
    <row r="89" spans="2:22" ht="15.75" thickBot="1">
      <c r="B89" s="553" t="s">
        <v>400</v>
      </c>
      <c r="C89" s="571">
        <v>46478</v>
      </c>
      <c r="D89" s="567">
        <v>1171</v>
      </c>
      <c r="G89" s="555" t="s">
        <v>254</v>
      </c>
      <c r="H89" s="556" t="s">
        <v>392</v>
      </c>
      <c r="I89" s="557" t="s">
        <v>390</v>
      </c>
    </row>
    <row r="90" spans="2:22">
      <c r="B90" s="564" t="s">
        <v>349</v>
      </c>
      <c r="C90" s="571">
        <v>2115</v>
      </c>
      <c r="D90" s="567">
        <v>696</v>
      </c>
      <c r="F90" s="572" t="s">
        <v>382</v>
      </c>
      <c r="G90" s="143" t="s">
        <v>365</v>
      </c>
      <c r="H90" s="143">
        <v>11.5</v>
      </c>
      <c r="I90" s="565"/>
    </row>
    <row r="91" spans="2:22">
      <c r="B91" s="564" t="s">
        <v>350</v>
      </c>
      <c r="C91" s="571">
        <v>1674</v>
      </c>
      <c r="D91" s="567">
        <v>599</v>
      </c>
      <c r="G91" s="143" t="s">
        <v>366</v>
      </c>
      <c r="H91" s="143">
        <v>4.9000000000000004</v>
      </c>
      <c r="I91" s="566">
        <f>(H91/(SUM(H91:H97))*B3)</f>
        <v>515.8125</v>
      </c>
    </row>
    <row r="92" spans="2:22">
      <c r="B92" s="564" t="s">
        <v>351</v>
      </c>
      <c r="C92" s="571">
        <v>1572</v>
      </c>
      <c r="D92" s="567">
        <v>657</v>
      </c>
      <c r="G92" s="143" t="s">
        <v>367</v>
      </c>
      <c r="H92" s="143">
        <v>3.4</v>
      </c>
      <c r="I92" s="566">
        <f>(H92/(SUM(H91:H97))*B3)</f>
        <v>357.91071428571422</v>
      </c>
    </row>
    <row r="93" spans="2:22">
      <c r="B93" s="564" t="s">
        <v>352</v>
      </c>
      <c r="C93" s="571">
        <v>2262</v>
      </c>
      <c r="D93" s="567">
        <v>654</v>
      </c>
      <c r="G93" s="143" t="s">
        <v>375</v>
      </c>
      <c r="H93" s="143">
        <v>4.2</v>
      </c>
      <c r="I93" s="566">
        <f>(H93/(SUM(H91:H97))*B3)</f>
        <v>442.125</v>
      </c>
    </row>
    <row r="94" spans="2:22">
      <c r="B94" s="564" t="s">
        <v>353</v>
      </c>
      <c r="C94" s="571">
        <v>1574</v>
      </c>
      <c r="D94" s="567">
        <v>464</v>
      </c>
      <c r="G94" s="143" t="s">
        <v>376</v>
      </c>
      <c r="H94" s="143">
        <v>5</v>
      </c>
      <c r="I94" s="566">
        <f>(H94/(SUM(H91:H97))*B3)</f>
        <v>526.33928571428567</v>
      </c>
    </row>
    <row r="95" spans="2:22">
      <c r="B95" s="564" t="s">
        <v>354</v>
      </c>
      <c r="C95" s="571">
        <v>1964</v>
      </c>
      <c r="D95" s="567">
        <v>742</v>
      </c>
      <c r="G95" s="143" t="s">
        <v>377</v>
      </c>
      <c r="H95" s="143">
        <v>4.8</v>
      </c>
      <c r="I95" s="566">
        <f>(H95/(SUM(H91:H97))*B3)</f>
        <v>505.28571428571428</v>
      </c>
    </row>
    <row r="96" spans="2:22">
      <c r="B96" s="564" t="s">
        <v>355</v>
      </c>
      <c r="C96" s="571">
        <v>2308</v>
      </c>
      <c r="D96" s="567">
        <v>705</v>
      </c>
      <c r="G96" s="143" t="s">
        <v>378</v>
      </c>
      <c r="H96" s="143">
        <v>4.8</v>
      </c>
      <c r="I96" s="566">
        <f>(H96/(SUM(H91:H97))*B3)</f>
        <v>505.28571428571428</v>
      </c>
    </row>
    <row r="97" spans="2:9">
      <c r="B97" s="564" t="s">
        <v>356</v>
      </c>
      <c r="C97" s="571">
        <v>2246</v>
      </c>
      <c r="D97" s="567">
        <v>677</v>
      </c>
      <c r="G97" s="143" t="s">
        <v>379</v>
      </c>
      <c r="H97" s="143">
        <v>6.5</v>
      </c>
      <c r="I97" s="566">
        <f>(H97/(SUM(H91:H97))*B3)</f>
        <v>684.24107142857133</v>
      </c>
    </row>
    <row r="98" spans="2:9">
      <c r="B98" s="564" t="s">
        <v>357</v>
      </c>
      <c r="C98" s="571">
        <v>2224</v>
      </c>
      <c r="D98" s="567">
        <v>821</v>
      </c>
      <c r="G98" s="143" t="s">
        <v>380</v>
      </c>
      <c r="H98" s="143">
        <v>54.9</v>
      </c>
      <c r="I98" s="568"/>
    </row>
    <row r="99" spans="2:9">
      <c r="B99" s="564" t="s">
        <v>358</v>
      </c>
      <c r="C99" s="571">
        <v>3017</v>
      </c>
      <c r="D99" s="567">
        <v>636</v>
      </c>
    </row>
    <row r="100" spans="2:9">
      <c r="B100" s="564" t="s">
        <v>359</v>
      </c>
      <c r="C100" s="571">
        <v>4375</v>
      </c>
      <c r="D100" s="567">
        <v>743</v>
      </c>
      <c r="G100" t="s">
        <v>366</v>
      </c>
      <c r="H100">
        <f>SUM(H91)</f>
        <v>4.9000000000000004</v>
      </c>
      <c r="I100" s="146">
        <f>(H100/(SUM(H100:H103))*B3)</f>
        <v>515.8125</v>
      </c>
    </row>
    <row r="101" spans="2:9">
      <c r="B101" s="564" t="s">
        <v>360</v>
      </c>
      <c r="C101" s="571">
        <v>7445</v>
      </c>
      <c r="D101" s="567">
        <v>1248</v>
      </c>
      <c r="G101" t="s">
        <v>394</v>
      </c>
      <c r="H101">
        <f>SUM(H92:H94)</f>
        <v>12.6</v>
      </c>
      <c r="I101" s="146">
        <f>(H101/(SUM(H100:H103))*B3)</f>
        <v>1326.375</v>
      </c>
    </row>
    <row r="102" spans="2:9">
      <c r="B102" s="564" t="s">
        <v>361</v>
      </c>
      <c r="C102" s="571">
        <v>4423</v>
      </c>
      <c r="D102" s="567">
        <v>820</v>
      </c>
      <c r="G102" t="s">
        <v>377</v>
      </c>
      <c r="H102">
        <f>SUM(H95)</f>
        <v>4.8</v>
      </c>
      <c r="I102" s="146">
        <f>(H102/(SUM(H100:H103))*B3)</f>
        <v>505.28571428571428</v>
      </c>
    </row>
    <row r="103" spans="2:9">
      <c r="B103" s="564" t="s">
        <v>362</v>
      </c>
      <c r="C103" s="571">
        <v>3589</v>
      </c>
      <c r="D103" s="567">
        <v>916</v>
      </c>
      <c r="G103" t="s">
        <v>395</v>
      </c>
      <c r="H103">
        <f>SUM(H96:H97)</f>
        <v>11.3</v>
      </c>
      <c r="I103" s="146">
        <f>(H103/(SUM(H100:H103))*B3)</f>
        <v>1189.5267857142858</v>
      </c>
    </row>
    <row r="104" spans="2:9">
      <c r="B104" s="564" t="s">
        <v>363</v>
      </c>
      <c r="C104" s="571">
        <v>2931</v>
      </c>
      <c r="D104" s="567">
        <v>656</v>
      </c>
    </row>
    <row r="105" spans="2:9">
      <c r="B105" s="564" t="s">
        <v>364</v>
      </c>
      <c r="C105" s="571">
        <v>2759</v>
      </c>
      <c r="D105" s="567">
        <v>492</v>
      </c>
    </row>
    <row r="113" spans="2:35" ht="15.75" thickBot="1">
      <c r="R113" s="9"/>
      <c r="S113" s="9"/>
      <c r="T113" s="9"/>
    </row>
    <row r="114" spans="2:35" ht="15.75" thickBot="1">
      <c r="B114" s="534">
        <v>2017</v>
      </c>
      <c r="C114" s="569" t="s">
        <v>342</v>
      </c>
      <c r="D114" s="570" t="s">
        <v>343</v>
      </c>
      <c r="F114" s="546" t="s">
        <v>234</v>
      </c>
      <c r="G114" s="547" t="s">
        <v>235</v>
      </c>
      <c r="H114" s="547" t="s">
        <v>236</v>
      </c>
      <c r="I114" s="547" t="s">
        <v>237</v>
      </c>
      <c r="J114" s="547" t="s">
        <v>238</v>
      </c>
      <c r="K114" s="547" t="s">
        <v>239</v>
      </c>
      <c r="L114" s="547" t="s">
        <v>240</v>
      </c>
      <c r="M114" s="547" t="s">
        <v>241</v>
      </c>
      <c r="N114" s="547" t="s">
        <v>242</v>
      </c>
      <c r="O114" s="547" t="s">
        <v>243</v>
      </c>
      <c r="P114" s="547" t="s">
        <v>244</v>
      </c>
      <c r="Q114" s="547" t="s">
        <v>245</v>
      </c>
      <c r="R114" s="547" t="s">
        <v>246</v>
      </c>
      <c r="S114" s="547" t="s">
        <v>247</v>
      </c>
      <c r="T114" s="547" t="s">
        <v>248</v>
      </c>
      <c r="U114" s="547" t="s">
        <v>249</v>
      </c>
      <c r="V114" s="548" t="s">
        <v>250</v>
      </c>
    </row>
    <row r="115" spans="2:35">
      <c r="B115" s="549" t="s">
        <v>257</v>
      </c>
      <c r="C115" s="522">
        <v>115733</v>
      </c>
      <c r="D115" s="535"/>
      <c r="F115" s="546" t="s">
        <v>251</v>
      </c>
      <c r="G115" s="531">
        <f>0.3*C117</f>
        <v>22639.200000000001</v>
      </c>
      <c r="H115" s="531">
        <f>0.35*C117</f>
        <v>26412.399999999998</v>
      </c>
      <c r="I115" s="531">
        <f>0.4*C117</f>
        <v>30185.600000000002</v>
      </c>
      <c r="J115" s="531">
        <f>0.45*C117</f>
        <v>33958.800000000003</v>
      </c>
      <c r="K115" s="531">
        <f>0.5*C117</f>
        <v>37732</v>
      </c>
      <c r="L115" s="531">
        <f>0.55*C117</f>
        <v>41505.200000000004</v>
      </c>
      <c r="M115" s="531">
        <f>0.6*C117</f>
        <v>45278.400000000001</v>
      </c>
      <c r="N115" s="531">
        <f>0.65*C117</f>
        <v>49051.6</v>
      </c>
      <c r="O115" s="531">
        <f>0.7*C117</f>
        <v>52824.799999999996</v>
      </c>
      <c r="P115" s="531">
        <f>0.75*C117</f>
        <v>56598</v>
      </c>
      <c r="Q115" s="531">
        <f>0.8*C117</f>
        <v>60371.200000000004</v>
      </c>
      <c r="R115" s="531">
        <f>0.85*C117</f>
        <v>64144.4</v>
      </c>
      <c r="S115" s="531">
        <f>0.9*C117</f>
        <v>67917.600000000006</v>
      </c>
      <c r="T115" s="531">
        <f>0.95*C117</f>
        <v>71690.8</v>
      </c>
      <c r="U115" s="531">
        <f>1*C117</f>
        <v>75464</v>
      </c>
      <c r="V115" s="531"/>
    </row>
    <row r="116" spans="2:35">
      <c r="B116" s="547" t="s">
        <v>258</v>
      </c>
      <c r="C116" s="529">
        <v>46645</v>
      </c>
      <c r="D116" s="530">
        <v>1338</v>
      </c>
      <c r="F116" s="546" t="s">
        <v>348</v>
      </c>
      <c r="G116" s="531">
        <f t="shared" ref="G116:V116" si="6">MROUND(G115,5000)</f>
        <v>25000</v>
      </c>
      <c r="H116" s="531">
        <f t="shared" si="6"/>
        <v>25000</v>
      </c>
      <c r="I116" s="531">
        <f t="shared" si="6"/>
        <v>30000</v>
      </c>
      <c r="J116" s="531">
        <f t="shared" si="6"/>
        <v>35000</v>
      </c>
      <c r="K116" s="531">
        <f t="shared" si="6"/>
        <v>40000</v>
      </c>
      <c r="L116" s="531">
        <f t="shared" si="6"/>
        <v>40000</v>
      </c>
      <c r="M116" s="531">
        <f t="shared" si="6"/>
        <v>45000</v>
      </c>
      <c r="N116" s="531">
        <f t="shared" si="6"/>
        <v>50000</v>
      </c>
      <c r="O116" s="531">
        <f t="shared" si="6"/>
        <v>55000</v>
      </c>
      <c r="P116" s="531">
        <f t="shared" si="6"/>
        <v>55000</v>
      </c>
      <c r="Q116" s="531">
        <f t="shared" si="6"/>
        <v>60000</v>
      </c>
      <c r="R116" s="531">
        <f t="shared" si="6"/>
        <v>65000</v>
      </c>
      <c r="S116" s="531">
        <f t="shared" si="6"/>
        <v>70000</v>
      </c>
      <c r="T116" s="531">
        <f t="shared" si="6"/>
        <v>70000</v>
      </c>
      <c r="U116" s="531">
        <f t="shared" si="6"/>
        <v>75000</v>
      </c>
      <c r="V116" s="531">
        <f t="shared" si="6"/>
        <v>0</v>
      </c>
      <c r="AA116" s="892" t="s">
        <v>255</v>
      </c>
      <c r="AB116" s="920"/>
      <c r="AC116" s="920"/>
      <c r="AD116" s="920"/>
      <c r="AE116" s="920"/>
      <c r="AF116" s="920"/>
      <c r="AG116" s="920"/>
      <c r="AH116" s="920"/>
      <c r="AI116" s="920"/>
    </row>
    <row r="117" spans="2:35">
      <c r="B117" s="547" t="s">
        <v>261</v>
      </c>
      <c r="C117" s="529">
        <v>75464</v>
      </c>
      <c r="D117" s="530">
        <v>4993</v>
      </c>
      <c r="F117" s="546" t="s">
        <v>252</v>
      </c>
      <c r="G117" s="921">
        <f>SUM(C121:C124)</f>
        <v>6620</v>
      </c>
      <c r="H117" s="924"/>
      <c r="I117" s="551">
        <f>SUM(C125)</f>
        <v>1833</v>
      </c>
      <c r="J117" s="550">
        <f>SUM(C126)</f>
        <v>1081</v>
      </c>
      <c r="K117" s="921">
        <f>SUM(C127)</f>
        <v>1060</v>
      </c>
      <c r="L117" s="922"/>
      <c r="M117" s="550">
        <f>SUM(C128)</f>
        <v>1942</v>
      </c>
      <c r="N117" s="551">
        <f>SUM(C129)</f>
        <v>1241</v>
      </c>
      <c r="O117" s="921">
        <f>SUM(C130)</f>
        <v>4445</v>
      </c>
      <c r="P117" s="925"/>
      <c r="Q117" s="922"/>
      <c r="R117" s="921">
        <f>SUM(C131)</f>
        <v>4911</v>
      </c>
      <c r="S117" s="925"/>
      <c r="T117" s="925"/>
      <c r="U117" s="922"/>
      <c r="V117" s="551">
        <f>SUM(C132:C136)</f>
        <v>23512</v>
      </c>
      <c r="AA117" s="920"/>
      <c r="AB117" s="920"/>
      <c r="AC117" s="920"/>
      <c r="AD117" s="920"/>
      <c r="AE117" s="920"/>
      <c r="AF117" s="920"/>
      <c r="AG117" s="920"/>
      <c r="AH117" s="920"/>
      <c r="AI117" s="920"/>
    </row>
    <row r="118" spans="2:35">
      <c r="C118" s="11"/>
      <c r="D118" s="17"/>
      <c r="F118" s="546" t="s">
        <v>253</v>
      </c>
      <c r="G118" s="914">
        <f>G117/C116</f>
        <v>0.14192303569514417</v>
      </c>
      <c r="H118" s="916"/>
      <c r="I118" s="538">
        <f>I117/C116</f>
        <v>3.9296816379033123E-2</v>
      </c>
      <c r="J118" s="537">
        <f>J117/C116</f>
        <v>2.3175045556865687E-2</v>
      </c>
      <c r="K118" s="914">
        <f>K117/C116</f>
        <v>2.2724836531246649E-2</v>
      </c>
      <c r="L118" s="916"/>
      <c r="M118" s="537">
        <f>M117/C116</f>
        <v>4.1633615607246224E-2</v>
      </c>
      <c r="N118" s="538">
        <f>N117/C116</f>
        <v>2.6605209561582164E-2</v>
      </c>
      <c r="O118" s="914">
        <f>O117/C116</f>
        <v>9.5294243756029587E-2</v>
      </c>
      <c r="P118" s="915"/>
      <c r="Q118" s="916"/>
      <c r="R118" s="914">
        <f>R117/C116</f>
        <v>0.10528459641976633</v>
      </c>
      <c r="S118" s="915"/>
      <c r="T118" s="915"/>
      <c r="U118" s="916"/>
      <c r="V118" s="538">
        <f>V117/C116</f>
        <v>0.50406260049308604</v>
      </c>
      <c r="AA118" s="920"/>
      <c r="AB118" s="920"/>
      <c r="AC118" s="920"/>
      <c r="AD118" s="920"/>
      <c r="AE118" s="920"/>
      <c r="AF118" s="920"/>
      <c r="AG118" s="920"/>
      <c r="AH118" s="920"/>
      <c r="AI118" s="920"/>
    </row>
    <row r="119" spans="2:35" ht="15.75" thickBot="1">
      <c r="B119" s="552" t="s">
        <v>404</v>
      </c>
      <c r="C119" s="543" t="s">
        <v>401</v>
      </c>
      <c r="D119" s="543" t="s">
        <v>402</v>
      </c>
      <c r="AA119" s="920"/>
      <c r="AB119" s="920"/>
      <c r="AC119" s="920"/>
      <c r="AD119" s="920"/>
      <c r="AE119" s="920"/>
      <c r="AF119" s="920"/>
      <c r="AG119" s="920"/>
      <c r="AH119" s="920"/>
      <c r="AI119" s="920"/>
    </row>
    <row r="120" spans="2:35" ht="15.75" thickBot="1">
      <c r="B120" s="553" t="s">
        <v>400</v>
      </c>
      <c r="C120" s="571">
        <v>46645</v>
      </c>
      <c r="D120" s="567">
        <v>1338</v>
      </c>
      <c r="G120" s="555" t="s">
        <v>254</v>
      </c>
      <c r="H120" s="556" t="s">
        <v>392</v>
      </c>
      <c r="I120" s="557" t="s">
        <v>390</v>
      </c>
      <c r="AA120" s="920"/>
      <c r="AB120" s="920"/>
      <c r="AC120" s="920"/>
      <c r="AD120" s="920"/>
      <c r="AE120" s="920"/>
      <c r="AF120" s="920"/>
      <c r="AG120" s="920"/>
      <c r="AH120" s="920"/>
      <c r="AI120" s="920"/>
    </row>
    <row r="121" spans="2:35">
      <c r="B121" s="564" t="s">
        <v>349</v>
      </c>
      <c r="C121" s="571">
        <v>2132</v>
      </c>
      <c r="D121" s="567">
        <v>727</v>
      </c>
      <c r="F121" s="73"/>
      <c r="G121" s="573" t="s">
        <v>383</v>
      </c>
      <c r="H121" s="540">
        <v>0.14199999999999999</v>
      </c>
      <c r="I121" s="565"/>
      <c r="AA121" s="920"/>
      <c r="AB121" s="920"/>
      <c r="AC121" s="920"/>
      <c r="AD121" s="920"/>
      <c r="AE121" s="920"/>
      <c r="AF121" s="920"/>
      <c r="AG121" s="920"/>
      <c r="AH121" s="920"/>
      <c r="AI121" s="920"/>
    </row>
    <row r="122" spans="2:35">
      <c r="B122" s="564" t="s">
        <v>350</v>
      </c>
      <c r="C122" s="571">
        <v>1262</v>
      </c>
      <c r="D122" s="567">
        <v>736</v>
      </c>
      <c r="G122" s="143" t="s">
        <v>384</v>
      </c>
      <c r="H122" s="536">
        <v>3.9E-2</v>
      </c>
      <c r="I122" s="566">
        <f>(H122/(SUM(H122:H128))*B3)</f>
        <v>389.66949152542378</v>
      </c>
      <c r="AA122" s="920"/>
      <c r="AB122" s="920"/>
      <c r="AC122" s="920"/>
      <c r="AD122" s="920"/>
      <c r="AE122" s="920"/>
      <c r="AF122" s="920"/>
      <c r="AG122" s="920"/>
      <c r="AH122" s="920"/>
      <c r="AI122" s="920"/>
    </row>
    <row r="123" spans="2:35">
      <c r="B123" s="564" t="s">
        <v>351</v>
      </c>
      <c r="C123" s="571">
        <v>1690</v>
      </c>
      <c r="D123" s="567">
        <v>620</v>
      </c>
      <c r="G123" s="143" t="s">
        <v>367</v>
      </c>
      <c r="H123" s="536">
        <v>2.3E-2</v>
      </c>
      <c r="I123" s="566">
        <f>(H123/(SUM(H122:H128))*B3)</f>
        <v>229.80508474576271</v>
      </c>
      <c r="AA123" s="920"/>
      <c r="AB123" s="920"/>
      <c r="AC123" s="920"/>
      <c r="AD123" s="920"/>
      <c r="AE123" s="920"/>
      <c r="AF123" s="920"/>
      <c r="AG123" s="920"/>
      <c r="AH123" s="920"/>
      <c r="AI123" s="920"/>
    </row>
    <row r="124" spans="2:35">
      <c r="B124" s="564" t="s">
        <v>352</v>
      </c>
      <c r="C124" s="571">
        <v>1536</v>
      </c>
      <c r="D124" s="567">
        <v>848</v>
      </c>
      <c r="G124" s="143" t="s">
        <v>375</v>
      </c>
      <c r="H124" s="536">
        <v>2.3E-2</v>
      </c>
      <c r="I124" s="566">
        <f>(H124/(SUM(H122:H128))*B3)</f>
        <v>229.80508474576271</v>
      </c>
      <c r="AA124" s="920"/>
      <c r="AB124" s="920"/>
      <c r="AC124" s="920"/>
      <c r="AD124" s="920"/>
      <c r="AE124" s="920"/>
      <c r="AF124" s="920"/>
      <c r="AG124" s="920"/>
      <c r="AH124" s="920"/>
      <c r="AI124" s="920"/>
    </row>
    <row r="125" spans="2:35">
      <c r="B125" s="564" t="s">
        <v>353</v>
      </c>
      <c r="C125" s="571">
        <v>1833</v>
      </c>
      <c r="D125" s="567">
        <v>715</v>
      </c>
      <c r="G125" s="143" t="s">
        <v>376</v>
      </c>
      <c r="H125" s="536">
        <v>4.2000000000000003E-2</v>
      </c>
      <c r="I125" s="566">
        <f>(H125/(SUM(H122:H128))*B3)</f>
        <v>419.64406779661022</v>
      </c>
      <c r="AA125" s="920"/>
      <c r="AB125" s="920"/>
      <c r="AC125" s="920"/>
      <c r="AD125" s="920"/>
      <c r="AE125" s="920"/>
      <c r="AF125" s="920"/>
      <c r="AG125" s="920"/>
      <c r="AH125" s="920"/>
      <c r="AI125" s="920"/>
    </row>
    <row r="126" spans="2:35">
      <c r="B126" s="564" t="s">
        <v>354</v>
      </c>
      <c r="C126" s="571">
        <v>1081</v>
      </c>
      <c r="D126" s="567">
        <v>552</v>
      </c>
      <c r="G126" s="143" t="s">
        <v>385</v>
      </c>
      <c r="H126" s="536">
        <v>2.7E-2</v>
      </c>
      <c r="I126" s="566">
        <f>(H126/(SUM(H122:H128))*B3)</f>
        <v>269.77118644067798</v>
      </c>
      <c r="AA126" s="920"/>
      <c r="AB126" s="920"/>
      <c r="AC126" s="920"/>
      <c r="AD126" s="920"/>
      <c r="AE126" s="920"/>
      <c r="AF126" s="920"/>
      <c r="AG126" s="920"/>
      <c r="AH126" s="920"/>
      <c r="AI126" s="920"/>
    </row>
    <row r="127" spans="2:35">
      <c r="B127" s="564" t="s">
        <v>355</v>
      </c>
      <c r="C127" s="571">
        <v>1060</v>
      </c>
      <c r="D127" s="567">
        <v>399</v>
      </c>
      <c r="G127" s="143" t="s">
        <v>386</v>
      </c>
      <c r="H127" s="536">
        <v>9.5000000000000001E-2</v>
      </c>
      <c r="I127" s="566">
        <f>(H127/(SUM(H122:H128))*B3)</f>
        <v>949.19491525423734</v>
      </c>
      <c r="AA127" s="920"/>
      <c r="AB127" s="920"/>
      <c r="AC127" s="920"/>
      <c r="AD127" s="920"/>
      <c r="AE127" s="920"/>
      <c r="AF127" s="920"/>
      <c r="AG127" s="920"/>
      <c r="AH127" s="920"/>
      <c r="AI127" s="920"/>
    </row>
    <row r="128" spans="2:35">
      <c r="B128" s="564" t="s">
        <v>356</v>
      </c>
      <c r="C128" s="571">
        <v>1942</v>
      </c>
      <c r="D128" s="567">
        <v>575</v>
      </c>
      <c r="G128" s="143" t="s">
        <v>387</v>
      </c>
      <c r="H128" s="536">
        <v>0.105</v>
      </c>
      <c r="I128" s="566">
        <f>(H128/(SUM(H122:H128))*B3)</f>
        <v>1049.1101694915253</v>
      </c>
      <c r="AA128" s="920"/>
      <c r="AB128" s="920"/>
      <c r="AC128" s="920"/>
      <c r="AD128" s="920"/>
      <c r="AE128" s="920"/>
      <c r="AF128" s="920"/>
      <c r="AG128" s="920"/>
      <c r="AH128" s="920"/>
      <c r="AI128" s="920"/>
    </row>
    <row r="129" spans="2:35">
      <c r="B129" s="564" t="s">
        <v>357</v>
      </c>
      <c r="C129" s="571">
        <v>1241</v>
      </c>
      <c r="D129" s="567">
        <v>488</v>
      </c>
      <c r="G129" s="143" t="s">
        <v>388</v>
      </c>
      <c r="H129" s="536">
        <v>0.504</v>
      </c>
      <c r="I129" s="568"/>
      <c r="AA129" s="920"/>
      <c r="AB129" s="920"/>
      <c r="AC129" s="920"/>
      <c r="AD129" s="920"/>
      <c r="AE129" s="920"/>
      <c r="AF129" s="920"/>
      <c r="AG129" s="920"/>
      <c r="AH129" s="920"/>
      <c r="AI129" s="920"/>
    </row>
    <row r="130" spans="2:35">
      <c r="B130" s="564" t="s">
        <v>358</v>
      </c>
      <c r="C130" s="571">
        <v>4445</v>
      </c>
      <c r="D130" s="567">
        <v>996</v>
      </c>
      <c r="AA130" s="920"/>
      <c r="AB130" s="920"/>
      <c r="AC130" s="920"/>
      <c r="AD130" s="920"/>
      <c r="AE130" s="920"/>
      <c r="AF130" s="920"/>
      <c r="AG130" s="920"/>
      <c r="AH130" s="920"/>
      <c r="AI130" s="920"/>
    </row>
    <row r="131" spans="2:35">
      <c r="B131" s="564" t="s">
        <v>359</v>
      </c>
      <c r="C131" s="571">
        <v>4911</v>
      </c>
      <c r="D131" s="567">
        <v>816</v>
      </c>
    </row>
    <row r="132" spans="2:35">
      <c r="B132" s="564" t="s">
        <v>360</v>
      </c>
      <c r="C132" s="571">
        <v>7135</v>
      </c>
      <c r="D132" s="567">
        <v>1207</v>
      </c>
      <c r="G132" t="s">
        <v>393</v>
      </c>
      <c r="H132" s="31">
        <f>SUM(H122:H123)</f>
        <v>6.2E-2</v>
      </c>
      <c r="I132" s="146">
        <f>(H132/(SUM(H132:H136))*B3)</f>
        <v>619.47457627118638</v>
      </c>
    </row>
    <row r="133" spans="2:35">
      <c r="B133" s="564" t="s">
        <v>361</v>
      </c>
      <c r="C133" s="571">
        <v>5647</v>
      </c>
      <c r="D133" s="567">
        <v>1101</v>
      </c>
      <c r="G133" t="s">
        <v>375</v>
      </c>
      <c r="H133" s="31">
        <f>SUM(H124)</f>
        <v>2.3E-2</v>
      </c>
      <c r="I133" s="146">
        <f>(H133/(SUM(H132:H136))*B3)</f>
        <v>229.80508474576271</v>
      </c>
    </row>
    <row r="134" spans="2:35">
      <c r="B134" s="564" t="s">
        <v>362</v>
      </c>
      <c r="C134" s="571">
        <v>3636</v>
      </c>
      <c r="D134" s="567">
        <v>773</v>
      </c>
      <c r="G134" t="s">
        <v>370</v>
      </c>
      <c r="H134" s="31">
        <f>SUM(H125:H126)</f>
        <v>6.9000000000000006E-2</v>
      </c>
      <c r="I134" s="146">
        <f>(H134/(SUM(H132:H136))*B3)</f>
        <v>689.41525423728831</v>
      </c>
    </row>
    <row r="135" spans="2:35">
      <c r="B135" s="564" t="s">
        <v>363</v>
      </c>
      <c r="C135" s="571">
        <v>3673</v>
      </c>
      <c r="D135" s="567">
        <v>798</v>
      </c>
      <c r="G135" t="s">
        <v>386</v>
      </c>
      <c r="H135" s="31">
        <f>SUM(H127)</f>
        <v>9.5000000000000001E-2</v>
      </c>
      <c r="I135" s="146">
        <f>(H135/(SUM(H132:H136))*B3)</f>
        <v>949.19491525423734</v>
      </c>
    </row>
    <row r="136" spans="2:35">
      <c r="B136" s="564" t="s">
        <v>364</v>
      </c>
      <c r="C136" s="571">
        <v>3421</v>
      </c>
      <c r="D136" s="567">
        <v>725</v>
      </c>
      <c r="G136" t="s">
        <v>387</v>
      </c>
      <c r="H136" s="31">
        <f>SUM(H128)</f>
        <v>0.105</v>
      </c>
      <c r="I136" s="146">
        <f>(H136/(SUM(H132:H136))*B3)</f>
        <v>1049.1101694915253</v>
      </c>
    </row>
    <row r="144" spans="2:35" ht="15.75" thickBot="1">
      <c r="R144" s="9"/>
      <c r="S144" s="9"/>
      <c r="T144" s="9"/>
    </row>
    <row r="145" spans="2:22" ht="15.75" thickBot="1">
      <c r="B145" s="534">
        <v>2018</v>
      </c>
      <c r="C145" s="569" t="s">
        <v>342</v>
      </c>
      <c r="D145" s="570" t="s">
        <v>343</v>
      </c>
      <c r="F145" s="546" t="s">
        <v>234</v>
      </c>
      <c r="G145" s="547" t="s">
        <v>235</v>
      </c>
      <c r="H145" s="547" t="s">
        <v>236</v>
      </c>
      <c r="I145" s="547" t="s">
        <v>237</v>
      </c>
      <c r="J145" s="547" t="s">
        <v>238</v>
      </c>
      <c r="K145" s="547" t="s">
        <v>239</v>
      </c>
      <c r="L145" s="547" t="s">
        <v>240</v>
      </c>
      <c r="M145" s="547" t="s">
        <v>241</v>
      </c>
      <c r="N145" s="547" t="s">
        <v>242</v>
      </c>
      <c r="O145" s="547" t="s">
        <v>243</v>
      </c>
      <c r="P145" s="547" t="s">
        <v>244</v>
      </c>
      <c r="Q145" s="547" t="s">
        <v>245</v>
      </c>
      <c r="R145" s="547" t="s">
        <v>246</v>
      </c>
      <c r="S145" s="547" t="s">
        <v>247</v>
      </c>
      <c r="T145" s="547" t="s">
        <v>248</v>
      </c>
      <c r="U145" s="547" t="s">
        <v>249</v>
      </c>
      <c r="V145" s="548" t="s">
        <v>250</v>
      </c>
    </row>
    <row r="146" spans="2:22">
      <c r="B146" s="549" t="s">
        <v>257</v>
      </c>
      <c r="C146" s="522"/>
      <c r="D146" s="535"/>
      <c r="F146" s="546" t="s">
        <v>251</v>
      </c>
      <c r="G146" s="531" t="e">
        <f>0.3*C150</f>
        <v>#VALUE!</v>
      </c>
      <c r="H146" s="531" t="e">
        <f>0.35*C150</f>
        <v>#VALUE!</v>
      </c>
      <c r="I146" s="531" t="e">
        <f>0.4*C150</f>
        <v>#VALUE!</v>
      </c>
      <c r="J146" s="531" t="e">
        <f>0.45*C150</f>
        <v>#VALUE!</v>
      </c>
      <c r="K146" s="531" t="e">
        <f>0.5*C150</f>
        <v>#VALUE!</v>
      </c>
      <c r="L146" s="531" t="e">
        <f>0.55*C150</f>
        <v>#VALUE!</v>
      </c>
      <c r="M146" s="531" t="e">
        <f>0.6*C150</f>
        <v>#VALUE!</v>
      </c>
      <c r="N146" s="531" t="e">
        <f>0.65*C150</f>
        <v>#VALUE!</v>
      </c>
      <c r="O146" s="531" t="e">
        <f>0.7*C150</f>
        <v>#VALUE!</v>
      </c>
      <c r="P146" s="531" t="e">
        <f>0.75*C150</f>
        <v>#VALUE!</v>
      </c>
      <c r="Q146" s="531" t="e">
        <f>0.8*C150</f>
        <v>#VALUE!</v>
      </c>
      <c r="R146" s="531" t="e">
        <f>0.85*C150</f>
        <v>#VALUE!</v>
      </c>
      <c r="S146" s="531" t="e">
        <f>0.9*C150</f>
        <v>#VALUE!</v>
      </c>
      <c r="T146" s="531" t="e">
        <f>0.95*C150</f>
        <v>#VALUE!</v>
      </c>
      <c r="U146" s="531" t="e">
        <f>1*C150</f>
        <v>#VALUE!</v>
      </c>
      <c r="V146" s="531"/>
    </row>
    <row r="147" spans="2:22">
      <c r="B147" s="547" t="s">
        <v>258</v>
      </c>
      <c r="C147" s="529"/>
      <c r="D147" s="530"/>
      <c r="F147" s="546" t="s">
        <v>348</v>
      </c>
      <c r="G147" s="531" t="e">
        <f t="shared" ref="G147:V147" si="7">MROUND(G146,5000)</f>
        <v>#VALUE!</v>
      </c>
      <c r="H147" s="531" t="e">
        <f t="shared" si="7"/>
        <v>#VALUE!</v>
      </c>
      <c r="I147" s="531" t="e">
        <f t="shared" si="7"/>
        <v>#VALUE!</v>
      </c>
      <c r="J147" s="531" t="e">
        <f t="shared" si="7"/>
        <v>#VALUE!</v>
      </c>
      <c r="K147" s="531" t="e">
        <f t="shared" si="7"/>
        <v>#VALUE!</v>
      </c>
      <c r="L147" s="531" t="e">
        <f t="shared" si="7"/>
        <v>#VALUE!</v>
      </c>
      <c r="M147" s="531" t="e">
        <f t="shared" si="7"/>
        <v>#VALUE!</v>
      </c>
      <c r="N147" s="531" t="e">
        <f t="shared" si="7"/>
        <v>#VALUE!</v>
      </c>
      <c r="O147" s="531" t="e">
        <f t="shared" si="7"/>
        <v>#VALUE!</v>
      </c>
      <c r="P147" s="531" t="e">
        <f t="shared" si="7"/>
        <v>#VALUE!</v>
      </c>
      <c r="Q147" s="531" t="e">
        <f t="shared" si="7"/>
        <v>#VALUE!</v>
      </c>
      <c r="R147" s="531" t="e">
        <f t="shared" si="7"/>
        <v>#VALUE!</v>
      </c>
      <c r="S147" s="531" t="e">
        <f t="shared" si="7"/>
        <v>#VALUE!</v>
      </c>
      <c r="T147" s="531" t="e">
        <f t="shared" si="7"/>
        <v>#VALUE!</v>
      </c>
      <c r="U147" s="531" t="e">
        <f t="shared" si="7"/>
        <v>#VALUE!</v>
      </c>
      <c r="V147" s="531">
        <f t="shared" si="7"/>
        <v>0</v>
      </c>
    </row>
    <row r="148" spans="2:22">
      <c r="B148" s="547" t="s">
        <v>261</v>
      </c>
      <c r="C148" s="529"/>
      <c r="D148" s="530"/>
      <c r="F148" s="546" t="s">
        <v>252</v>
      </c>
      <c r="G148" s="550"/>
      <c r="H148" s="574"/>
      <c r="I148" s="574"/>
      <c r="J148" s="575"/>
      <c r="K148" s="574"/>
      <c r="L148" s="574"/>
      <c r="M148" s="575"/>
      <c r="N148" s="574"/>
      <c r="O148" s="574"/>
      <c r="P148" s="575"/>
      <c r="Q148" s="574"/>
      <c r="R148" s="574"/>
      <c r="S148" s="574"/>
      <c r="T148" s="574"/>
      <c r="U148" s="574"/>
      <c r="V148" s="574"/>
    </row>
    <row r="149" spans="2:22">
      <c r="C149" s="11"/>
      <c r="D149" s="17"/>
      <c r="F149" s="546" t="s">
        <v>253</v>
      </c>
      <c r="G149" s="532" t="e">
        <f>G148/C147</f>
        <v>#DIV/0!</v>
      </c>
      <c r="H149" s="533" t="e">
        <f>H148/C147</f>
        <v>#DIV/0!</v>
      </c>
      <c r="I149" s="533" t="e">
        <f>I148/C147</f>
        <v>#DIV/0!</v>
      </c>
      <c r="J149" s="532" t="e">
        <f>J148/C147</f>
        <v>#DIV/0!</v>
      </c>
      <c r="K149" s="533" t="e">
        <f>K148/C147</f>
        <v>#DIV/0!</v>
      </c>
      <c r="L149" s="533" t="e">
        <f>L148/C147</f>
        <v>#DIV/0!</v>
      </c>
      <c r="M149" s="532" t="e">
        <f>M148/C147</f>
        <v>#DIV/0!</v>
      </c>
      <c r="N149" s="533" t="e">
        <f>N148/C147</f>
        <v>#DIV/0!</v>
      </c>
      <c r="O149" s="533" t="e">
        <f>O148/C147</f>
        <v>#DIV/0!</v>
      </c>
      <c r="P149" s="532" t="e">
        <f>P148/C147</f>
        <v>#DIV/0!</v>
      </c>
      <c r="Q149" s="533" t="e">
        <f>Q148/C147</f>
        <v>#DIV/0!</v>
      </c>
      <c r="R149" s="533" t="e">
        <f>R148/C147</f>
        <v>#DIV/0!</v>
      </c>
      <c r="S149" s="533" t="e">
        <f>S148/C147</f>
        <v>#DIV/0!</v>
      </c>
      <c r="T149" s="533" t="e">
        <f>T148/C147</f>
        <v>#DIV/0!</v>
      </c>
      <c r="U149" s="533" t="e">
        <f>U148/C147</f>
        <v>#DIV/0!</v>
      </c>
      <c r="V149" s="533" t="e">
        <f>V148/C147</f>
        <v>#DIV/0!</v>
      </c>
    </row>
    <row r="150" spans="2:22">
      <c r="B150" s="552" t="s">
        <v>403</v>
      </c>
      <c r="C150" s="543" t="s">
        <v>401</v>
      </c>
      <c r="D150" s="543" t="s">
        <v>402</v>
      </c>
    </row>
    <row r="151" spans="2:22">
      <c r="B151" s="553" t="s">
        <v>400</v>
      </c>
      <c r="C151" s="563"/>
      <c r="D151" s="564"/>
    </row>
    <row r="152" spans="2:22">
      <c r="B152" s="564" t="s">
        <v>349</v>
      </c>
      <c r="C152" s="563"/>
      <c r="D152" s="564"/>
    </row>
    <row r="153" spans="2:22">
      <c r="B153" s="564" t="s">
        <v>350</v>
      </c>
      <c r="C153" s="563"/>
      <c r="D153" s="564"/>
    </row>
    <row r="154" spans="2:22">
      <c r="B154" s="564" t="s">
        <v>351</v>
      </c>
      <c r="C154" s="563"/>
      <c r="D154" s="564"/>
    </row>
    <row r="155" spans="2:22">
      <c r="B155" s="564" t="s">
        <v>352</v>
      </c>
      <c r="C155" s="563"/>
      <c r="D155" s="564"/>
    </row>
    <row r="156" spans="2:22">
      <c r="B156" s="564" t="s">
        <v>353</v>
      </c>
      <c r="C156" s="563"/>
      <c r="D156" s="564"/>
    </row>
    <row r="157" spans="2:22">
      <c r="B157" s="564" t="s">
        <v>354</v>
      </c>
      <c r="C157" s="563"/>
      <c r="D157" s="564"/>
    </row>
    <row r="158" spans="2:22">
      <c r="B158" s="564" t="s">
        <v>355</v>
      </c>
      <c r="C158" s="563"/>
      <c r="D158" s="564"/>
    </row>
    <row r="159" spans="2:22">
      <c r="B159" s="564" t="s">
        <v>356</v>
      </c>
      <c r="C159" s="563"/>
      <c r="D159" s="564"/>
    </row>
    <row r="160" spans="2:22">
      <c r="B160" s="564" t="s">
        <v>357</v>
      </c>
      <c r="C160" s="563"/>
      <c r="D160" s="564"/>
    </row>
    <row r="161" spans="2:4">
      <c r="B161" s="564" t="s">
        <v>358</v>
      </c>
      <c r="C161" s="563"/>
      <c r="D161" s="564"/>
    </row>
    <row r="162" spans="2:4">
      <c r="B162" s="564" t="s">
        <v>359</v>
      </c>
      <c r="C162" s="563"/>
      <c r="D162" s="564"/>
    </row>
    <row r="163" spans="2:4">
      <c r="B163" s="564" t="s">
        <v>360</v>
      </c>
      <c r="C163" s="563"/>
      <c r="D163" s="564"/>
    </row>
    <row r="164" spans="2:4">
      <c r="B164" s="564" t="s">
        <v>361</v>
      </c>
      <c r="C164" s="563"/>
      <c r="D164" s="564"/>
    </row>
    <row r="165" spans="2:4">
      <c r="B165" s="564" t="s">
        <v>362</v>
      </c>
      <c r="C165" s="563"/>
      <c r="D165" s="564"/>
    </row>
    <row r="166" spans="2:4">
      <c r="B166" s="564" t="s">
        <v>363</v>
      </c>
      <c r="C166" s="563"/>
      <c r="D166" s="564"/>
    </row>
    <row r="167" spans="2:4">
      <c r="B167" s="564" t="s">
        <v>364</v>
      </c>
      <c r="C167" s="563"/>
      <c r="D167" s="564"/>
    </row>
  </sheetData>
  <mergeCells count="51">
    <mergeCell ref="G117:H117"/>
    <mergeCell ref="G118:H118"/>
    <mergeCell ref="K117:L117"/>
    <mergeCell ref="K118:L118"/>
    <mergeCell ref="O117:Q117"/>
    <mergeCell ref="O118:Q118"/>
    <mergeCell ref="H11:I11"/>
    <mergeCell ref="H12:I12"/>
    <mergeCell ref="H87:I87"/>
    <mergeCell ref="U12:V12"/>
    <mergeCell ref="Q54:S54"/>
    <mergeCell ref="Q55:S55"/>
    <mergeCell ref="T54:V54"/>
    <mergeCell ref="T55:V55"/>
    <mergeCell ref="K54:L54"/>
    <mergeCell ref="K55:L55"/>
    <mergeCell ref="N54:O54"/>
    <mergeCell ref="N55:O55"/>
    <mergeCell ref="T86:V86"/>
    <mergeCell ref="T87:V87"/>
    <mergeCell ref="K86:L86"/>
    <mergeCell ref="K87:L87"/>
    <mergeCell ref="H54:I54"/>
    <mergeCell ref="H55:I55"/>
    <mergeCell ref="H86:I86"/>
    <mergeCell ref="J12:K12"/>
    <mergeCell ref="M12:N12"/>
    <mergeCell ref="N86:O86"/>
    <mergeCell ref="AA116:AI130"/>
    <mergeCell ref="U11:V11"/>
    <mergeCell ref="J11:K11"/>
    <mergeCell ref="AF11:AG11"/>
    <mergeCell ref="R11:T11"/>
    <mergeCell ref="R12:T12"/>
    <mergeCell ref="P11:Q11"/>
    <mergeCell ref="M11:N11"/>
    <mergeCell ref="P12:Q12"/>
    <mergeCell ref="R117:U117"/>
    <mergeCell ref="R118:U118"/>
    <mergeCell ref="N87:O87"/>
    <mergeCell ref="Q86:S86"/>
    <mergeCell ref="Q87:S87"/>
    <mergeCell ref="AR11:AT11"/>
    <mergeCell ref="AO11:AQ11"/>
    <mergeCell ref="AM11:AN11"/>
    <mergeCell ref="AJ11:AK11"/>
    <mergeCell ref="AF10:AG10"/>
    <mergeCell ref="AJ10:AK10"/>
    <mergeCell ref="AM10:AN10"/>
    <mergeCell ref="AO10:AQ10"/>
    <mergeCell ref="AR10:AT10"/>
  </mergeCells>
  <pageMargins left="0.7" right="0.7" top="0.75" bottom="0.75" header="0.3" footer="0.3"/>
  <pageSetup orientation="portrait" horizontalDpi="0" verticalDpi="0"/>
  <ignoredErrors>
    <ignoredError sqref="G11 I122:I128" formulaRange="1"/>
  </ignoredErrors>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5"/>
  <sheetViews>
    <sheetView zoomScale="97" workbookViewId="0">
      <selection activeCell="J26" sqref="J26"/>
    </sheetView>
  </sheetViews>
  <sheetFormatPr defaultColWidth="10.85546875" defaultRowHeight="15"/>
  <cols>
    <col min="1" max="1" width="32.42578125" customWidth="1"/>
    <col min="2" max="2" width="13.42578125" customWidth="1"/>
    <col min="3" max="3" width="12.85546875" customWidth="1"/>
    <col min="4" max="4" width="1.28515625" customWidth="1"/>
    <col min="12" max="12" width="28.7109375" customWidth="1"/>
    <col min="16" max="16" width="12.42578125" customWidth="1"/>
  </cols>
  <sheetData>
    <row r="1" spans="1:19" ht="47.25">
      <c r="A1" s="706" t="s">
        <v>494</v>
      </c>
      <c r="B1" s="926" t="s">
        <v>495</v>
      </c>
      <c r="C1" s="927"/>
      <c r="E1" s="928" t="s">
        <v>256</v>
      </c>
      <c r="F1" s="929"/>
      <c r="G1" s="929"/>
      <c r="H1" s="929"/>
      <c r="I1" s="930"/>
    </row>
    <row r="2" spans="1:19" ht="16.5" thickBot="1">
      <c r="A2" s="707" t="s">
        <v>496</v>
      </c>
      <c r="B2" s="708" t="s">
        <v>259</v>
      </c>
      <c r="C2" s="709" t="s">
        <v>260</v>
      </c>
      <c r="E2" s="737">
        <v>2017</v>
      </c>
      <c r="F2" s="738">
        <v>2018</v>
      </c>
      <c r="G2" s="738">
        <v>2019</v>
      </c>
      <c r="H2" s="738">
        <v>2020</v>
      </c>
      <c r="I2" s="739">
        <v>2021</v>
      </c>
      <c r="P2" s="1"/>
      <c r="Q2" s="2"/>
      <c r="R2" s="2"/>
      <c r="S2" s="2"/>
    </row>
    <row r="3" spans="1:19" ht="16.5" thickBot="1">
      <c r="A3" s="710" t="s">
        <v>497</v>
      </c>
      <c r="B3" s="711">
        <v>913</v>
      </c>
      <c r="C3" s="730">
        <v>4563</v>
      </c>
      <c r="D3" s="143"/>
      <c r="E3" s="740"/>
      <c r="F3" s="740"/>
      <c r="G3" s="740"/>
      <c r="H3" s="740"/>
      <c r="I3" s="740"/>
      <c r="P3" s="2"/>
      <c r="Q3" s="2"/>
      <c r="R3" s="2"/>
      <c r="S3" s="2"/>
    </row>
    <row r="4" spans="1:19" ht="15.75">
      <c r="A4" s="712" t="s">
        <v>498</v>
      </c>
      <c r="B4" s="713">
        <v>708</v>
      </c>
      <c r="C4" s="731">
        <v>3537</v>
      </c>
      <c r="D4" s="143"/>
      <c r="E4" s="740"/>
      <c r="F4" s="740"/>
      <c r="G4" s="740"/>
      <c r="H4" s="740"/>
      <c r="I4" s="740"/>
      <c r="M4" s="5"/>
      <c r="P4" s="2"/>
      <c r="Q4" s="2"/>
      <c r="R4" s="2"/>
      <c r="S4" s="2"/>
    </row>
    <row r="5" spans="1:19" ht="15.75" thickBot="1">
      <c r="A5" s="714" t="s">
        <v>262</v>
      </c>
      <c r="B5" s="715">
        <v>206</v>
      </c>
      <c r="C5" s="732">
        <v>1026</v>
      </c>
      <c r="D5" s="143"/>
      <c r="E5" s="740"/>
      <c r="F5" s="740"/>
      <c r="G5" s="740"/>
      <c r="H5" s="740"/>
      <c r="I5" s="740"/>
      <c r="M5" s="5"/>
      <c r="P5" s="2"/>
      <c r="Q5" s="2"/>
      <c r="R5" s="2"/>
      <c r="S5" s="2"/>
    </row>
    <row r="6" spans="1:19" ht="17.25" thickTop="1" thickBot="1">
      <c r="A6" s="716" t="s">
        <v>499</v>
      </c>
      <c r="B6" s="717">
        <v>536</v>
      </c>
      <c r="C6" s="733">
        <v>2681</v>
      </c>
      <c r="D6" s="143"/>
      <c r="E6" s="740"/>
      <c r="F6" s="740"/>
      <c r="G6" s="740"/>
      <c r="H6" s="740"/>
      <c r="I6" s="740"/>
      <c r="M6" s="5"/>
    </row>
    <row r="7" spans="1:19">
      <c r="A7" s="718" t="s">
        <v>500</v>
      </c>
      <c r="B7" s="719">
        <v>345</v>
      </c>
      <c r="C7" s="734">
        <v>1725</v>
      </c>
      <c r="D7" s="143"/>
      <c r="E7" s="740"/>
      <c r="F7" s="740"/>
      <c r="G7" s="740"/>
      <c r="H7" s="740"/>
      <c r="I7" s="740"/>
      <c r="M7" s="5"/>
    </row>
    <row r="8" spans="1:19">
      <c r="A8" s="720" t="s">
        <v>501</v>
      </c>
      <c r="B8" s="721">
        <v>168</v>
      </c>
      <c r="C8" s="735">
        <v>842</v>
      </c>
      <c r="D8" s="143"/>
      <c r="E8" s="740"/>
      <c r="F8" s="740"/>
      <c r="G8" s="740"/>
      <c r="H8" s="740"/>
      <c r="I8" s="740"/>
    </row>
    <row r="9" spans="1:19" ht="15.75" thickBot="1">
      <c r="A9" s="722" t="s">
        <v>265</v>
      </c>
      <c r="B9" s="723">
        <v>23</v>
      </c>
      <c r="C9" s="732">
        <v>114</v>
      </c>
      <c r="D9" s="143"/>
      <c r="E9" s="740"/>
      <c r="F9" s="740"/>
      <c r="G9" s="740"/>
      <c r="H9" s="740"/>
      <c r="I9" s="740"/>
    </row>
    <row r="10" spans="1:19" ht="17.25" thickTop="1" thickBot="1">
      <c r="A10" s="724" t="s">
        <v>502</v>
      </c>
      <c r="B10" s="725">
        <v>301</v>
      </c>
      <c r="C10" s="733">
        <v>1504</v>
      </c>
      <c r="D10" s="143"/>
      <c r="E10" s="740"/>
      <c r="F10" s="740"/>
      <c r="G10" s="740"/>
      <c r="H10" s="740"/>
      <c r="I10" s="740"/>
    </row>
    <row r="11" spans="1:19">
      <c r="A11" s="726" t="s">
        <v>503</v>
      </c>
      <c r="B11" s="719">
        <v>134</v>
      </c>
      <c r="C11" s="734">
        <v>671</v>
      </c>
      <c r="D11" s="143"/>
      <c r="E11" s="740"/>
      <c r="F11" s="740"/>
      <c r="G11" s="740"/>
      <c r="H11" s="740"/>
      <c r="I11" s="740"/>
    </row>
    <row r="12" spans="1:19">
      <c r="A12" s="727" t="s">
        <v>504</v>
      </c>
      <c r="B12" s="721">
        <v>37</v>
      </c>
      <c r="C12" s="735">
        <v>185</v>
      </c>
      <c r="D12" s="143"/>
      <c r="E12" s="740"/>
      <c r="F12" s="740"/>
      <c r="G12" s="740"/>
      <c r="H12" s="740"/>
      <c r="I12" s="740"/>
    </row>
    <row r="13" spans="1:19">
      <c r="A13" s="727" t="s">
        <v>263</v>
      </c>
      <c r="B13" s="721">
        <v>38</v>
      </c>
      <c r="C13" s="735">
        <v>190</v>
      </c>
      <c r="D13" s="143"/>
      <c r="E13" s="740"/>
      <c r="F13" s="740"/>
      <c r="G13" s="740"/>
      <c r="H13" s="740"/>
      <c r="I13" s="740"/>
    </row>
    <row r="14" spans="1:19" ht="15.75" thickBot="1">
      <c r="A14" s="722" t="s">
        <v>264</v>
      </c>
      <c r="B14" s="715">
        <v>92</v>
      </c>
      <c r="C14" s="732">
        <v>458</v>
      </c>
      <c r="D14" s="143"/>
      <c r="E14" s="740"/>
      <c r="F14" s="740"/>
      <c r="G14" s="740"/>
      <c r="H14" s="740"/>
      <c r="I14" s="740"/>
    </row>
    <row r="15" spans="1:19" ht="17.25" thickTop="1" thickBot="1">
      <c r="A15" s="724" t="s">
        <v>505</v>
      </c>
      <c r="B15" s="717">
        <v>205</v>
      </c>
      <c r="C15" s="733">
        <v>1026</v>
      </c>
      <c r="D15" s="143"/>
      <c r="E15" s="740"/>
      <c r="F15" s="740"/>
      <c r="G15" s="740"/>
      <c r="H15" s="740"/>
      <c r="I15" s="740"/>
    </row>
    <row r="16" spans="1:19">
      <c r="A16" s="726" t="s">
        <v>506</v>
      </c>
      <c r="B16" s="719">
        <v>69</v>
      </c>
      <c r="C16" s="734">
        <v>343</v>
      </c>
      <c r="D16" s="143"/>
      <c r="E16" s="740"/>
      <c r="F16" s="740"/>
      <c r="G16" s="740"/>
      <c r="H16" s="740"/>
      <c r="I16" s="740"/>
    </row>
    <row r="17" spans="1:28">
      <c r="A17" s="727" t="s">
        <v>507</v>
      </c>
      <c r="B17" s="721">
        <v>7</v>
      </c>
      <c r="C17" s="735">
        <v>35</v>
      </c>
      <c r="D17" s="143"/>
      <c r="E17" s="740"/>
      <c r="F17" s="740"/>
      <c r="G17" s="740"/>
      <c r="H17" s="740"/>
      <c r="I17" s="740"/>
    </row>
    <row r="18" spans="1:28" ht="15.75" thickBot="1">
      <c r="A18" s="728" t="s">
        <v>508</v>
      </c>
      <c r="B18" s="729">
        <v>130</v>
      </c>
      <c r="C18" s="736">
        <v>648</v>
      </c>
      <c r="D18" s="143"/>
      <c r="E18" s="740"/>
      <c r="F18" s="740"/>
      <c r="G18" s="740"/>
      <c r="H18" s="740"/>
      <c r="I18" s="740"/>
    </row>
    <row r="19" spans="1:28">
      <c r="AB19" s="61"/>
    </row>
    <row r="20" spans="1:28">
      <c r="A20" s="3"/>
      <c r="B20" s="3"/>
      <c r="C20" s="3"/>
    </row>
    <row r="21" spans="1:28">
      <c r="D21" s="3"/>
      <c r="E21" s="3"/>
      <c r="F21" s="3"/>
    </row>
    <row r="22" spans="1:28">
      <c r="M22" s="373"/>
      <c r="N22" s="373"/>
      <c r="O22" s="373"/>
      <c r="P22" s="373"/>
      <c r="Q22" s="373"/>
      <c r="R22" s="373"/>
      <c r="S22" s="373"/>
      <c r="T22" s="373"/>
      <c r="U22" s="373"/>
      <c r="V22" s="373"/>
      <c r="W22" s="373"/>
      <c r="X22" s="373"/>
      <c r="Y22" s="373"/>
      <c r="Z22" s="373"/>
      <c r="AA22" s="373"/>
      <c r="AB22" s="373"/>
    </row>
    <row r="34" spans="1:6">
      <c r="B34" s="38"/>
    </row>
    <row r="36" spans="1:6">
      <c r="D36" s="3"/>
      <c r="E36" s="3"/>
      <c r="F36" s="3"/>
    </row>
    <row r="38" spans="1:6">
      <c r="A38" s="3"/>
      <c r="B38" s="3"/>
    </row>
    <row r="42" spans="1:6">
      <c r="D42" s="3"/>
    </row>
    <row r="45" spans="1:6">
      <c r="D45" s="3"/>
    </row>
  </sheetData>
  <mergeCells count="2">
    <mergeCell ref="B1:C1"/>
    <mergeCell ref="E1:I1"/>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6"/>
  <sheetViews>
    <sheetView topLeftCell="B1" zoomScale="75" zoomScaleNormal="75" workbookViewId="0">
      <selection activeCell="D34" sqref="D34"/>
    </sheetView>
  </sheetViews>
  <sheetFormatPr defaultColWidth="10.85546875" defaultRowHeight="15"/>
  <cols>
    <col min="1" max="1" width="40.85546875" style="6" hidden="1" customWidth="1"/>
    <col min="2" max="2" width="32" style="6" customWidth="1"/>
    <col min="3" max="3" width="18.42578125" style="6" hidden="1" customWidth="1"/>
    <col min="4" max="7" width="11" style="6" customWidth="1"/>
    <col min="8" max="11" width="10.85546875" style="6" hidden="1" customWidth="1"/>
    <col min="12" max="12" width="1.85546875" style="6" customWidth="1"/>
    <col min="13" max="16" width="10.85546875" style="6"/>
    <col min="17" max="17" width="1.42578125" style="6" customWidth="1"/>
    <col min="18" max="23" width="10.85546875" style="6"/>
    <col min="24" max="24" width="1" style="6" customWidth="1"/>
    <col min="25" max="30" width="10.85546875" style="6"/>
    <col min="31" max="31" width="20.7109375" style="6" customWidth="1"/>
    <col min="32" max="16384" width="10.85546875" style="6"/>
  </cols>
  <sheetData>
    <row r="1" spans="1:38">
      <c r="A1" s="942" t="s">
        <v>509</v>
      </c>
      <c r="B1" s="943"/>
      <c r="C1" s="943"/>
      <c r="D1" s="943"/>
      <c r="E1" s="943"/>
      <c r="F1" s="943"/>
      <c r="G1" s="943"/>
      <c r="H1" s="932" t="s">
        <v>510</v>
      </c>
      <c r="I1" s="932"/>
      <c r="J1" s="932"/>
      <c r="K1" s="933"/>
      <c r="M1" s="931" t="s">
        <v>511</v>
      </c>
      <c r="N1" s="932"/>
      <c r="O1" s="932"/>
      <c r="P1" s="933"/>
      <c r="R1" s="931" t="s">
        <v>512</v>
      </c>
      <c r="S1" s="932"/>
      <c r="T1" s="932"/>
      <c r="U1" s="932"/>
      <c r="V1" s="932"/>
      <c r="W1" s="933"/>
      <c r="Y1" s="931" t="s">
        <v>511</v>
      </c>
      <c r="Z1" s="932"/>
      <c r="AA1" s="932"/>
      <c r="AB1" s="933"/>
      <c r="AF1" s="6" t="s">
        <v>366</v>
      </c>
      <c r="AG1" s="6" t="s">
        <v>589</v>
      </c>
      <c r="AH1" s="6" t="s">
        <v>590</v>
      </c>
      <c r="AI1" s="6" t="s">
        <v>591</v>
      </c>
      <c r="AJ1" s="6" t="s">
        <v>592</v>
      </c>
      <c r="AK1" s="6" t="s">
        <v>593</v>
      </c>
      <c r="AL1" s="6" t="s">
        <v>594</v>
      </c>
    </row>
    <row r="2" spans="1:38" ht="15.75" thickBot="1">
      <c r="A2" s="742" t="s">
        <v>513</v>
      </c>
      <c r="B2" s="743" t="s">
        <v>514</v>
      </c>
      <c r="C2" s="743" t="s">
        <v>515</v>
      </c>
      <c r="D2" s="743" t="s">
        <v>516</v>
      </c>
      <c r="E2" s="744" t="s">
        <v>517</v>
      </c>
      <c r="F2" s="744" t="s">
        <v>518</v>
      </c>
      <c r="G2" s="743" t="s">
        <v>519</v>
      </c>
      <c r="H2" s="743" t="s">
        <v>520</v>
      </c>
      <c r="I2" s="743" t="s">
        <v>521</v>
      </c>
      <c r="J2" s="743" t="s">
        <v>522</v>
      </c>
      <c r="K2" s="745" t="s">
        <v>523</v>
      </c>
      <c r="M2" s="743" t="s">
        <v>524</v>
      </c>
      <c r="N2" s="743" t="s">
        <v>525</v>
      </c>
      <c r="O2" s="743" t="s">
        <v>526</v>
      </c>
      <c r="P2" s="745" t="s">
        <v>527</v>
      </c>
      <c r="R2" s="742">
        <v>1</v>
      </c>
      <c r="S2" s="743">
        <v>2</v>
      </c>
      <c r="T2" s="743">
        <v>3</v>
      </c>
      <c r="U2" s="743">
        <v>4</v>
      </c>
      <c r="V2" s="743">
        <v>5</v>
      </c>
      <c r="W2" s="745">
        <v>6</v>
      </c>
      <c r="Y2" s="743" t="s">
        <v>520</v>
      </c>
      <c r="Z2" s="743" t="s">
        <v>521</v>
      </c>
      <c r="AA2" s="743" t="s">
        <v>522</v>
      </c>
      <c r="AB2" s="745" t="s">
        <v>523</v>
      </c>
      <c r="AE2" s="6" t="s">
        <v>412</v>
      </c>
      <c r="AF2" s="6">
        <v>417</v>
      </c>
      <c r="AG2" s="6">
        <v>484</v>
      </c>
      <c r="AH2" s="6">
        <v>439</v>
      </c>
      <c r="AI2" s="6">
        <v>406</v>
      </c>
      <c r="AJ2" s="6">
        <v>496</v>
      </c>
      <c r="AK2" s="6">
        <v>394</v>
      </c>
      <c r="AL2" s="6">
        <v>901</v>
      </c>
    </row>
    <row r="3" spans="1:38" ht="15.75" thickBot="1">
      <c r="A3" s="937" t="s">
        <v>528</v>
      </c>
      <c r="B3" s="938"/>
      <c r="C3" s="938"/>
      <c r="D3" s="938"/>
      <c r="E3" s="938"/>
      <c r="F3" s="938"/>
      <c r="G3" s="938"/>
      <c r="H3" s="938"/>
      <c r="I3" s="938"/>
      <c r="J3" s="938"/>
      <c r="K3" s="939"/>
      <c r="M3" s="746"/>
      <c r="N3" s="746"/>
      <c r="O3" s="746"/>
      <c r="P3" s="746"/>
      <c r="Q3" s="747"/>
      <c r="R3" s="748"/>
      <c r="S3" s="748"/>
      <c r="T3" s="748"/>
      <c r="U3" s="748"/>
      <c r="V3" s="748"/>
      <c r="W3" s="746"/>
      <c r="X3" s="749"/>
      <c r="Y3" s="750"/>
      <c r="Z3" s="750"/>
      <c r="AA3" s="751"/>
      <c r="AB3" s="751"/>
      <c r="AE3" s="6" t="s">
        <v>595</v>
      </c>
      <c r="AH3" s="6">
        <v>62</v>
      </c>
      <c r="AI3" s="6">
        <v>794</v>
      </c>
    </row>
    <row r="4" spans="1:38">
      <c r="A4" s="752" t="s">
        <v>529</v>
      </c>
      <c r="B4" s="752" t="s">
        <v>530</v>
      </c>
      <c r="C4" s="752" t="s">
        <v>531</v>
      </c>
      <c r="D4" s="752">
        <v>52</v>
      </c>
      <c r="E4" s="753">
        <v>1</v>
      </c>
      <c r="F4" s="754">
        <f>D4*1</f>
        <v>52</v>
      </c>
      <c r="G4" s="753">
        <v>0.6</v>
      </c>
      <c r="H4" s="752"/>
      <c r="I4" s="752">
        <v>860</v>
      </c>
      <c r="J4" s="752" t="s">
        <v>532</v>
      </c>
      <c r="K4" s="752"/>
      <c r="M4" s="755"/>
      <c r="N4" s="755"/>
      <c r="O4" s="755"/>
      <c r="P4" s="755">
        <v>52</v>
      </c>
      <c r="R4" s="756">
        <v>38040</v>
      </c>
      <c r="S4" s="756">
        <v>43440</v>
      </c>
      <c r="T4" s="756">
        <v>48900</v>
      </c>
      <c r="U4" s="756">
        <v>54300</v>
      </c>
      <c r="V4" s="756"/>
      <c r="W4" s="756"/>
      <c r="Y4" s="749"/>
      <c r="Z4" s="749"/>
      <c r="AA4" s="749"/>
      <c r="AB4" s="749"/>
    </row>
    <row r="5" spans="1:38">
      <c r="A5" s="741" t="s">
        <v>533</v>
      </c>
      <c r="B5" s="741" t="s">
        <v>534</v>
      </c>
      <c r="C5" s="741" t="s">
        <v>535</v>
      </c>
      <c r="D5" s="741">
        <v>90</v>
      </c>
      <c r="E5" s="757">
        <v>0.2</v>
      </c>
      <c r="F5" s="758">
        <f>D5*0.2</f>
        <v>18</v>
      </c>
      <c r="G5" s="757">
        <v>0.6</v>
      </c>
      <c r="H5" s="759">
        <v>1100</v>
      </c>
      <c r="I5" s="759">
        <v>1350</v>
      </c>
      <c r="J5" s="759">
        <v>1700</v>
      </c>
      <c r="K5" s="741"/>
      <c r="M5" s="755"/>
      <c r="N5" s="755"/>
      <c r="O5" s="755"/>
      <c r="P5" s="755">
        <v>18</v>
      </c>
      <c r="R5" s="747"/>
      <c r="S5" s="747"/>
      <c r="T5" s="747"/>
      <c r="U5" s="747"/>
      <c r="V5" s="747"/>
      <c r="W5" s="747"/>
      <c r="Y5" s="749" t="s">
        <v>536</v>
      </c>
      <c r="Z5" s="749"/>
      <c r="AA5" s="749" t="s">
        <v>537</v>
      </c>
      <c r="AB5" s="749"/>
    </row>
    <row r="6" spans="1:38">
      <c r="A6" s="741" t="s">
        <v>538</v>
      </c>
      <c r="B6" s="741" t="s">
        <v>539</v>
      </c>
      <c r="C6" s="741" t="s">
        <v>531</v>
      </c>
      <c r="D6" s="741">
        <v>49</v>
      </c>
      <c r="E6" s="757">
        <v>1</v>
      </c>
      <c r="F6" s="758">
        <f>D6*1</f>
        <v>49</v>
      </c>
      <c r="G6" s="757">
        <v>0.6</v>
      </c>
      <c r="H6" s="741"/>
      <c r="I6" s="741">
        <v>690</v>
      </c>
      <c r="J6" s="741">
        <v>815</v>
      </c>
      <c r="K6" s="741">
        <v>950</v>
      </c>
      <c r="M6" s="755"/>
      <c r="N6" s="755"/>
      <c r="O6" s="755"/>
      <c r="P6" s="755">
        <v>49</v>
      </c>
      <c r="R6" s="747"/>
      <c r="S6" s="747"/>
      <c r="T6" s="747"/>
      <c r="U6" s="747"/>
      <c r="V6" s="747"/>
      <c r="W6" s="747"/>
      <c r="Y6" s="749"/>
      <c r="Z6" s="749"/>
      <c r="AA6" s="749"/>
      <c r="AB6" s="749"/>
    </row>
    <row r="7" spans="1:38">
      <c r="A7" s="741" t="s">
        <v>540</v>
      </c>
      <c r="B7" s="741" t="s">
        <v>541</v>
      </c>
      <c r="C7" s="741" t="s">
        <v>535</v>
      </c>
      <c r="D7" s="741">
        <v>55</v>
      </c>
      <c r="E7" s="757">
        <v>1</v>
      </c>
      <c r="F7" s="758">
        <v>55</v>
      </c>
      <c r="G7" s="757" t="s">
        <v>542</v>
      </c>
      <c r="H7" s="913" t="s">
        <v>543</v>
      </c>
      <c r="I7" s="913"/>
      <c r="J7" s="913"/>
      <c r="K7" s="913"/>
      <c r="M7" s="755">
        <v>55</v>
      </c>
      <c r="N7" s="755"/>
      <c r="O7" s="755"/>
      <c r="P7" s="755"/>
      <c r="R7" s="608"/>
      <c r="S7" s="608"/>
      <c r="T7" s="608"/>
      <c r="U7" s="608"/>
      <c r="V7" s="608"/>
      <c r="W7" s="608"/>
      <c r="Y7" s="760"/>
      <c r="Z7" s="760"/>
      <c r="AA7" s="760"/>
      <c r="AB7" s="760"/>
    </row>
    <row r="8" spans="1:38">
      <c r="A8" s="741" t="s">
        <v>544</v>
      </c>
      <c r="B8" s="741" t="s">
        <v>545</v>
      </c>
      <c r="C8" s="741" t="s">
        <v>546</v>
      </c>
      <c r="D8" s="741">
        <v>139</v>
      </c>
      <c r="E8" s="757">
        <v>1</v>
      </c>
      <c r="F8" s="758">
        <v>139</v>
      </c>
      <c r="G8" s="757">
        <v>0.6</v>
      </c>
      <c r="H8" s="913" t="s">
        <v>543</v>
      </c>
      <c r="I8" s="913"/>
      <c r="J8" s="913"/>
      <c r="K8" s="913"/>
      <c r="M8" s="755"/>
      <c r="N8" s="755"/>
      <c r="O8" s="755"/>
      <c r="P8" s="755">
        <v>60</v>
      </c>
      <c r="R8" s="608"/>
      <c r="S8" s="608"/>
      <c r="T8" s="608"/>
      <c r="U8" s="608"/>
      <c r="V8" s="608"/>
      <c r="W8" s="608"/>
      <c r="Y8" s="760"/>
      <c r="Z8" s="760"/>
      <c r="AA8" s="760"/>
      <c r="AB8" s="760"/>
    </row>
    <row r="9" spans="1:38">
      <c r="A9" s="741" t="s">
        <v>547</v>
      </c>
      <c r="B9" s="741" t="s">
        <v>548</v>
      </c>
      <c r="C9" s="741" t="s">
        <v>549</v>
      </c>
      <c r="D9" s="741">
        <v>128</v>
      </c>
      <c r="E9" s="757">
        <v>1</v>
      </c>
      <c r="F9" s="758">
        <v>240</v>
      </c>
      <c r="G9" s="757">
        <v>0.6</v>
      </c>
      <c r="H9" s="940" t="s">
        <v>550</v>
      </c>
      <c r="I9" s="940"/>
      <c r="J9" s="940"/>
      <c r="K9" s="940"/>
      <c r="M9" s="755"/>
      <c r="N9" s="755"/>
      <c r="O9" s="755"/>
      <c r="P9" s="755">
        <v>128</v>
      </c>
      <c r="R9" s="761"/>
      <c r="S9" s="761"/>
      <c r="T9" s="761"/>
      <c r="U9" s="761"/>
      <c r="V9" s="761"/>
      <c r="W9" s="761"/>
      <c r="Y9" s="762"/>
      <c r="Z9" s="762"/>
      <c r="AA9" s="762"/>
      <c r="AB9" s="762"/>
    </row>
    <row r="10" spans="1:38">
      <c r="A10" s="741" t="s">
        <v>551</v>
      </c>
      <c r="B10" s="741" t="s">
        <v>552</v>
      </c>
      <c r="C10" s="741" t="s">
        <v>531</v>
      </c>
      <c r="D10" s="741">
        <v>60</v>
      </c>
      <c r="E10" s="757">
        <v>1</v>
      </c>
      <c r="F10" s="758">
        <v>60</v>
      </c>
      <c r="G10" s="757">
        <v>0.6</v>
      </c>
      <c r="H10" s="741"/>
      <c r="I10" s="741" t="s">
        <v>553</v>
      </c>
      <c r="J10" s="741">
        <v>915</v>
      </c>
      <c r="K10" s="741">
        <v>1025</v>
      </c>
      <c r="M10" s="755"/>
      <c r="N10" s="755"/>
      <c r="O10" s="755"/>
      <c r="P10" s="755">
        <v>60</v>
      </c>
      <c r="R10" s="747">
        <v>37260</v>
      </c>
      <c r="S10" s="747">
        <v>42560</v>
      </c>
      <c r="T10" s="747">
        <v>47880</v>
      </c>
      <c r="U10" s="747">
        <v>53160</v>
      </c>
      <c r="V10" s="747">
        <v>57420</v>
      </c>
      <c r="W10" s="747">
        <v>61680</v>
      </c>
      <c r="Y10" s="749"/>
      <c r="Z10" s="749" t="s">
        <v>537</v>
      </c>
      <c r="AA10" s="749" t="s">
        <v>537</v>
      </c>
      <c r="AB10" s="749" t="s">
        <v>537</v>
      </c>
    </row>
    <row r="11" spans="1:38">
      <c r="A11" s="741" t="s">
        <v>554</v>
      </c>
      <c r="B11" s="741" t="s">
        <v>555</v>
      </c>
      <c r="C11" s="741" t="s">
        <v>556</v>
      </c>
      <c r="D11" s="741">
        <v>82</v>
      </c>
      <c r="E11" s="763"/>
      <c r="F11" s="764"/>
      <c r="G11" s="757">
        <v>0.6</v>
      </c>
      <c r="H11" s="940" t="s">
        <v>557</v>
      </c>
      <c r="I11" s="940"/>
      <c r="J11" s="940"/>
      <c r="K11" s="940"/>
      <c r="M11" s="755"/>
      <c r="N11" s="755"/>
      <c r="O11" s="755"/>
      <c r="P11" s="755"/>
      <c r="R11" s="761"/>
      <c r="S11" s="761"/>
      <c r="T11" s="761"/>
      <c r="U11" s="761"/>
      <c r="V11" s="761"/>
      <c r="W11" s="761"/>
      <c r="Y11" s="762"/>
      <c r="Z11" s="762"/>
      <c r="AA11" s="762"/>
      <c r="AB11" s="762"/>
    </row>
    <row r="12" spans="1:38">
      <c r="A12" s="765"/>
      <c r="B12" s="765" t="s">
        <v>558</v>
      </c>
      <c r="C12" s="765" t="s">
        <v>549</v>
      </c>
      <c r="D12" s="765">
        <v>44</v>
      </c>
      <c r="E12" s="757">
        <v>1</v>
      </c>
      <c r="F12" s="758">
        <v>44</v>
      </c>
      <c r="G12" s="766">
        <v>0.5</v>
      </c>
      <c r="H12" s="767"/>
      <c r="I12" s="767"/>
      <c r="J12" s="767"/>
      <c r="K12" s="767"/>
      <c r="M12" s="755"/>
      <c r="N12" s="755"/>
      <c r="O12" s="755">
        <v>44</v>
      </c>
      <c r="P12" s="755"/>
      <c r="R12" s="761"/>
      <c r="S12" s="761"/>
      <c r="T12" s="761"/>
      <c r="U12" s="761"/>
      <c r="V12" s="761"/>
      <c r="W12" s="761"/>
      <c r="Y12" s="762"/>
      <c r="Z12" s="762"/>
      <c r="AA12" s="762"/>
      <c r="AB12" s="762"/>
    </row>
    <row r="13" spans="1:38" ht="15.75" thickBot="1">
      <c r="A13" s="765" t="s">
        <v>559</v>
      </c>
      <c r="B13" s="765" t="s">
        <v>560</v>
      </c>
      <c r="C13" s="765" t="s">
        <v>556</v>
      </c>
      <c r="D13" s="765">
        <v>60</v>
      </c>
      <c r="E13" s="766">
        <v>1</v>
      </c>
      <c r="F13" s="768">
        <v>60</v>
      </c>
      <c r="G13" s="766">
        <v>0.6</v>
      </c>
      <c r="H13" s="941" t="s">
        <v>561</v>
      </c>
      <c r="I13" s="941"/>
      <c r="J13" s="941"/>
      <c r="K13" s="941"/>
      <c r="M13" s="755"/>
      <c r="N13" s="755"/>
      <c r="O13" s="755"/>
      <c r="P13" s="755">
        <v>60</v>
      </c>
      <c r="R13" s="761"/>
      <c r="S13" s="761"/>
      <c r="T13" s="761"/>
      <c r="U13" s="761"/>
      <c r="V13" s="761"/>
      <c r="W13" s="761"/>
      <c r="Y13" s="762"/>
      <c r="Z13" s="762"/>
      <c r="AA13" s="762"/>
      <c r="AB13" s="762"/>
    </row>
    <row r="14" spans="1:38" ht="15.75" thickBot="1">
      <c r="A14" s="937" t="s">
        <v>562</v>
      </c>
      <c r="B14" s="938"/>
      <c r="C14" s="938"/>
      <c r="D14" s="938"/>
      <c r="E14" s="938"/>
      <c r="F14" s="938"/>
      <c r="G14" s="938"/>
      <c r="H14" s="938"/>
      <c r="I14" s="938"/>
      <c r="J14" s="938"/>
      <c r="K14" s="939"/>
      <c r="M14" s="769"/>
      <c r="N14" s="769"/>
      <c r="O14" s="769"/>
      <c r="P14" s="769"/>
      <c r="R14" s="748"/>
      <c r="S14" s="748"/>
      <c r="T14" s="748"/>
      <c r="U14" s="748"/>
      <c r="V14" s="748"/>
      <c r="W14" s="748"/>
      <c r="Y14" s="746"/>
      <c r="Z14" s="746"/>
      <c r="AA14" s="746"/>
      <c r="AB14" s="746"/>
    </row>
    <row r="15" spans="1:38">
      <c r="A15" s="752" t="s">
        <v>563</v>
      </c>
      <c r="B15" s="752" t="s">
        <v>564</v>
      </c>
      <c r="C15" s="752" t="s">
        <v>535</v>
      </c>
      <c r="D15" s="752">
        <v>62</v>
      </c>
      <c r="E15" s="753"/>
      <c r="F15" s="754"/>
      <c r="G15" s="753"/>
      <c r="H15" s="934" t="s">
        <v>565</v>
      </c>
      <c r="I15" s="935"/>
      <c r="J15" s="935"/>
      <c r="K15" s="936"/>
      <c r="M15" s="755"/>
      <c r="N15" s="755"/>
      <c r="O15" s="755"/>
      <c r="P15" s="755"/>
      <c r="R15" s="608"/>
      <c r="S15" s="608"/>
      <c r="T15" s="608"/>
      <c r="U15" s="608"/>
      <c r="V15" s="608"/>
      <c r="W15" s="608"/>
      <c r="Y15" s="760"/>
      <c r="Z15" s="770">
        <v>43190</v>
      </c>
      <c r="AA15" s="760"/>
      <c r="AB15" s="760"/>
    </row>
    <row r="16" spans="1:38" ht="15.75" thickBot="1">
      <c r="A16" s="741" t="s">
        <v>566</v>
      </c>
      <c r="B16" s="741" t="s">
        <v>567</v>
      </c>
      <c r="C16" s="741" t="s">
        <v>556</v>
      </c>
      <c r="D16" s="741">
        <v>128</v>
      </c>
      <c r="E16" s="757">
        <v>1</v>
      </c>
      <c r="F16" s="758">
        <v>128</v>
      </c>
      <c r="G16" s="757">
        <v>0.6</v>
      </c>
      <c r="H16" s="741">
        <v>710</v>
      </c>
      <c r="I16" s="741">
        <v>900</v>
      </c>
      <c r="J16" s="741">
        <v>1200</v>
      </c>
      <c r="K16" s="741"/>
      <c r="M16" s="755"/>
      <c r="N16" s="755"/>
      <c r="O16" s="755"/>
      <c r="P16" s="755">
        <v>128</v>
      </c>
      <c r="R16" s="747"/>
      <c r="S16" s="747"/>
      <c r="T16" s="747"/>
      <c r="U16" s="747"/>
      <c r="V16" s="747"/>
      <c r="W16" s="747"/>
      <c r="Y16" s="749"/>
      <c r="Z16" s="749"/>
      <c r="AA16" s="749"/>
      <c r="AB16" s="749"/>
    </row>
    <row r="17" spans="1:28" ht="15.75" thickBot="1">
      <c r="A17" s="937" t="s">
        <v>568</v>
      </c>
      <c r="B17" s="938"/>
      <c r="C17" s="938"/>
      <c r="D17" s="938"/>
      <c r="E17" s="938"/>
      <c r="F17" s="938"/>
      <c r="G17" s="938"/>
      <c r="H17" s="938"/>
      <c r="I17" s="938"/>
      <c r="J17" s="938"/>
      <c r="K17" s="939"/>
      <c r="M17" s="769"/>
      <c r="N17" s="769"/>
      <c r="O17" s="769"/>
      <c r="P17" s="769"/>
      <c r="R17" s="748"/>
      <c r="S17" s="748"/>
      <c r="T17" s="748"/>
      <c r="U17" s="748"/>
      <c r="V17" s="748"/>
      <c r="W17" s="748"/>
      <c r="Y17" s="746"/>
      <c r="Z17" s="746"/>
      <c r="AA17" s="746"/>
      <c r="AB17" s="746"/>
    </row>
    <row r="18" spans="1:28">
      <c r="A18" s="741" t="s">
        <v>569</v>
      </c>
      <c r="B18" s="741" t="s">
        <v>570</v>
      </c>
      <c r="C18" s="741" t="s">
        <v>531</v>
      </c>
      <c r="D18" s="741">
        <v>54</v>
      </c>
      <c r="E18" s="757">
        <v>1</v>
      </c>
      <c r="F18" s="758">
        <v>54</v>
      </c>
      <c r="G18" s="757">
        <v>0.6</v>
      </c>
      <c r="H18" s="741"/>
      <c r="I18" s="741">
        <v>650</v>
      </c>
      <c r="J18" s="741">
        <v>765</v>
      </c>
      <c r="K18" s="741">
        <v>880</v>
      </c>
      <c r="M18" s="755"/>
      <c r="N18" s="755"/>
      <c r="O18" s="755"/>
      <c r="P18" s="755">
        <v>54</v>
      </c>
      <c r="R18" s="747"/>
      <c r="S18" s="747"/>
      <c r="T18" s="747"/>
      <c r="U18" s="747"/>
      <c r="V18" s="747"/>
      <c r="W18" s="747"/>
      <c r="Y18" s="749"/>
      <c r="Z18" s="749" t="s">
        <v>536</v>
      </c>
      <c r="AA18" s="749" t="s">
        <v>536</v>
      </c>
      <c r="AB18" s="749"/>
    </row>
    <row r="19" spans="1:28">
      <c r="A19" s="741" t="s">
        <v>571</v>
      </c>
      <c r="B19" s="741" t="s">
        <v>572</v>
      </c>
      <c r="C19" s="741" t="s">
        <v>535</v>
      </c>
      <c r="D19" s="741">
        <v>92</v>
      </c>
      <c r="E19" s="757">
        <v>0.2</v>
      </c>
      <c r="F19" s="758">
        <f>D19*0.2</f>
        <v>18.400000000000002</v>
      </c>
      <c r="G19" s="757">
        <v>0.5</v>
      </c>
      <c r="H19" s="741" t="s">
        <v>573</v>
      </c>
      <c r="I19" s="741" t="s">
        <v>574</v>
      </c>
      <c r="J19" s="741" t="s">
        <v>575</v>
      </c>
      <c r="K19" s="741"/>
      <c r="M19" s="755"/>
      <c r="N19" s="755"/>
      <c r="O19" s="755">
        <v>18</v>
      </c>
      <c r="P19" s="755"/>
      <c r="R19" s="747"/>
      <c r="S19" s="747"/>
      <c r="T19" s="747"/>
      <c r="U19" s="747"/>
      <c r="V19" s="747"/>
      <c r="W19" s="747"/>
      <c r="Y19" s="749" t="s">
        <v>537</v>
      </c>
      <c r="Z19" s="749" t="s">
        <v>537</v>
      </c>
      <c r="AA19" s="749" t="s">
        <v>537</v>
      </c>
      <c r="AB19" s="749"/>
    </row>
    <row r="20" spans="1:28" ht="15.75" thickBot="1">
      <c r="A20" s="741" t="s">
        <v>576</v>
      </c>
      <c r="B20" s="741" t="s">
        <v>577</v>
      </c>
      <c r="C20" s="741" t="s">
        <v>556</v>
      </c>
      <c r="D20" s="741">
        <v>135</v>
      </c>
      <c r="E20" s="757">
        <v>1</v>
      </c>
      <c r="F20" s="758">
        <v>135</v>
      </c>
      <c r="G20" s="757">
        <v>0.6</v>
      </c>
      <c r="H20" s="741"/>
      <c r="I20" s="741"/>
      <c r="J20" s="741"/>
      <c r="K20" s="741"/>
      <c r="M20" s="755"/>
      <c r="N20" s="755"/>
      <c r="O20" s="755"/>
      <c r="P20" s="755">
        <v>135</v>
      </c>
      <c r="R20" s="747"/>
      <c r="S20" s="747"/>
      <c r="T20" s="747"/>
      <c r="U20" s="747"/>
      <c r="V20" s="747"/>
      <c r="W20" s="747"/>
      <c r="Y20" s="749"/>
      <c r="Z20" s="749"/>
      <c r="AA20" s="749"/>
      <c r="AB20" s="749"/>
    </row>
    <row r="21" spans="1:28" ht="15.75" thickBot="1">
      <c r="A21" s="937" t="s">
        <v>578</v>
      </c>
      <c r="B21" s="938"/>
      <c r="C21" s="938"/>
      <c r="D21" s="938"/>
      <c r="E21" s="938"/>
      <c r="F21" s="938"/>
      <c r="G21" s="938"/>
      <c r="H21" s="938"/>
      <c r="I21" s="938"/>
      <c r="J21" s="938"/>
      <c r="K21" s="939"/>
      <c r="M21" s="769"/>
      <c r="N21" s="769"/>
      <c r="O21" s="769"/>
      <c r="P21" s="769"/>
      <c r="R21" s="748"/>
      <c r="S21" s="748"/>
      <c r="T21" s="748"/>
      <c r="U21" s="748"/>
      <c r="V21" s="748"/>
      <c r="W21" s="748"/>
      <c r="Y21" s="746"/>
      <c r="Z21" s="746"/>
      <c r="AA21" s="746"/>
      <c r="AB21" s="746"/>
    </row>
    <row r="22" spans="1:28">
      <c r="A22" s="741" t="s">
        <v>579</v>
      </c>
      <c r="B22" s="741" t="s">
        <v>580</v>
      </c>
      <c r="C22" s="741" t="s">
        <v>581</v>
      </c>
      <c r="D22" s="741">
        <v>50</v>
      </c>
      <c r="E22" s="757"/>
      <c r="F22" s="758"/>
      <c r="G22" s="757"/>
      <c r="H22" s="741"/>
      <c r="I22" s="741"/>
      <c r="J22" s="741"/>
      <c r="K22" s="741"/>
      <c r="M22" s="755"/>
      <c r="N22" s="755"/>
      <c r="O22" s="755"/>
      <c r="P22" s="755"/>
      <c r="R22" s="747"/>
      <c r="S22" s="747"/>
      <c r="T22" s="747"/>
      <c r="U22" s="747"/>
      <c r="V22" s="747"/>
      <c r="W22" s="747"/>
      <c r="Y22" s="749"/>
      <c r="Z22" s="749"/>
      <c r="AA22" s="749"/>
      <c r="AB22" s="749"/>
    </row>
    <row r="23" spans="1:28">
      <c r="A23" s="741" t="s">
        <v>582</v>
      </c>
      <c r="B23" s="741" t="s">
        <v>583</v>
      </c>
      <c r="C23" s="741" t="s">
        <v>556</v>
      </c>
      <c r="D23" s="741">
        <v>143</v>
      </c>
      <c r="E23" s="757">
        <v>0.2</v>
      </c>
      <c r="F23" s="758">
        <f>D23*0.2</f>
        <v>28.6</v>
      </c>
      <c r="G23" s="757">
        <v>0.6</v>
      </c>
      <c r="H23" s="741"/>
      <c r="I23" s="741"/>
      <c r="J23" s="741"/>
      <c r="K23" s="741"/>
      <c r="M23" s="755"/>
      <c r="N23" s="755"/>
      <c r="O23" s="755"/>
      <c r="P23" s="755">
        <v>29</v>
      </c>
      <c r="R23" s="747"/>
      <c r="S23" s="747"/>
      <c r="T23" s="747"/>
      <c r="U23" s="747"/>
      <c r="V23" s="747"/>
      <c r="W23" s="747"/>
      <c r="Y23" s="749"/>
      <c r="Z23" s="749"/>
      <c r="AA23" s="749"/>
      <c r="AB23" s="749"/>
    </row>
    <row r="24" spans="1:28">
      <c r="A24" s="741" t="s">
        <v>584</v>
      </c>
      <c r="B24" s="741" t="s">
        <v>585</v>
      </c>
      <c r="C24" s="741" t="s">
        <v>535</v>
      </c>
      <c r="D24" s="741">
        <v>107</v>
      </c>
      <c r="E24" s="757">
        <v>0.2</v>
      </c>
      <c r="F24" s="758">
        <f>D24*0.2</f>
        <v>21.400000000000002</v>
      </c>
      <c r="G24" s="757">
        <v>0.6</v>
      </c>
      <c r="H24" s="741">
        <v>1120</v>
      </c>
      <c r="I24" s="741" t="s">
        <v>586</v>
      </c>
      <c r="J24" s="741" t="s">
        <v>587</v>
      </c>
      <c r="K24" s="741"/>
      <c r="M24" s="755"/>
      <c r="N24" s="755"/>
      <c r="O24" s="755"/>
      <c r="P24" s="755">
        <v>21</v>
      </c>
      <c r="R24" s="747"/>
      <c r="S24" s="747"/>
      <c r="T24" s="747"/>
      <c r="U24" s="747"/>
      <c r="V24" s="747"/>
      <c r="W24" s="747"/>
      <c r="Y24" s="749" t="s">
        <v>536</v>
      </c>
      <c r="Z24" s="749" t="s">
        <v>536</v>
      </c>
      <c r="AA24" s="749" t="s">
        <v>536</v>
      </c>
      <c r="AB24" s="749"/>
    </row>
    <row r="25" spans="1:28">
      <c r="A25" s="741"/>
      <c r="B25" s="741"/>
      <c r="C25" s="741"/>
      <c r="D25" s="741"/>
      <c r="E25" s="757"/>
      <c r="F25" s="758"/>
      <c r="G25" s="757"/>
      <c r="H25" s="741"/>
      <c r="I25" s="741"/>
      <c r="J25" s="741"/>
      <c r="K25" s="741"/>
      <c r="M25" s="755"/>
      <c r="N25" s="755"/>
      <c r="O25" s="755"/>
      <c r="P25" s="755"/>
      <c r="R25" s="747"/>
      <c r="S25" s="747"/>
      <c r="T25" s="747"/>
      <c r="U25" s="747"/>
      <c r="V25" s="747"/>
      <c r="W25" s="747"/>
      <c r="Y25" s="749"/>
      <c r="Z25" s="749"/>
      <c r="AA25" s="749"/>
      <c r="AB25" s="749"/>
    </row>
    <row r="26" spans="1:28">
      <c r="A26" s="741"/>
      <c r="B26" s="741"/>
      <c r="C26" s="741"/>
      <c r="D26" s="741"/>
      <c r="E26" s="757"/>
      <c r="F26" s="758"/>
      <c r="G26" s="757"/>
      <c r="H26" s="741"/>
      <c r="I26" s="741"/>
      <c r="J26" s="741"/>
      <c r="K26" s="741"/>
      <c r="M26" s="755"/>
      <c r="N26" s="755"/>
      <c r="O26" s="755"/>
      <c r="P26" s="755"/>
      <c r="R26" s="747"/>
      <c r="S26" s="747"/>
      <c r="T26" s="747"/>
      <c r="U26" s="747"/>
      <c r="V26" s="747"/>
      <c r="W26" s="747"/>
      <c r="Y26" s="749"/>
      <c r="Z26" s="749"/>
      <c r="AA26" s="749"/>
      <c r="AB26" s="749"/>
    </row>
    <row r="27" spans="1:28" ht="15.75" thickBot="1">
      <c r="A27" s="741"/>
      <c r="B27" s="741"/>
      <c r="C27" s="741"/>
      <c r="D27" s="741"/>
      <c r="E27" s="757"/>
      <c r="F27" s="758"/>
      <c r="G27" s="757"/>
      <c r="H27" s="741"/>
      <c r="I27" s="741"/>
      <c r="J27" s="741"/>
      <c r="K27" s="741"/>
      <c r="M27" s="771"/>
      <c r="N27" s="771"/>
      <c r="O27" s="771"/>
      <c r="P27" s="771"/>
      <c r="R27" s="747"/>
      <c r="S27" s="747"/>
      <c r="T27" s="747"/>
      <c r="U27" s="747"/>
      <c r="V27" s="747"/>
      <c r="W27" s="747"/>
      <c r="Y27" s="749"/>
      <c r="Z27" s="749"/>
      <c r="AA27" s="749"/>
      <c r="AB27" s="749"/>
    </row>
    <row r="28" spans="1:28" ht="15.75" thickBot="1">
      <c r="M28" s="772">
        <f>SUM(M4:M27)</f>
        <v>55</v>
      </c>
      <c r="N28" s="773">
        <f>SUM(N3:N27)</f>
        <v>0</v>
      </c>
      <c r="O28" s="773">
        <f>SUM(O3:O27)</f>
        <v>62</v>
      </c>
      <c r="P28" s="774">
        <f>SUM(P4:P27)</f>
        <v>794</v>
      </c>
    </row>
    <row r="29" spans="1:28">
      <c r="C29" s="6" t="s">
        <v>438</v>
      </c>
      <c r="F29" s="775">
        <f>SUM(F4:F13,F15:F16,F18:F20,F22:F27)</f>
        <v>1102.4000000000001</v>
      </c>
    </row>
    <row r="30" spans="1:28">
      <c r="M30" s="10" t="s">
        <v>588</v>
      </c>
      <c r="O30" s="775">
        <f>SUM(M28,N28,O28,P28)</f>
        <v>911</v>
      </c>
    </row>
    <row r="36" spans="7:7">
      <c r="G36" s="776"/>
    </row>
  </sheetData>
  <mergeCells count="15">
    <mergeCell ref="Y1:AB1"/>
    <mergeCell ref="H15:K15"/>
    <mergeCell ref="A17:K17"/>
    <mergeCell ref="A21:K21"/>
    <mergeCell ref="H7:K7"/>
    <mergeCell ref="H8:K8"/>
    <mergeCell ref="H9:K9"/>
    <mergeCell ref="H11:K11"/>
    <mergeCell ref="H13:K13"/>
    <mergeCell ref="A14:K14"/>
    <mergeCell ref="A3:K3"/>
    <mergeCell ref="A1:G1"/>
    <mergeCell ref="H1:K1"/>
    <mergeCell ref="M1:P1"/>
    <mergeCell ref="R1:W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Y33"/>
  <sheetViews>
    <sheetView workbookViewId="0">
      <selection activeCell="O25" sqref="O25"/>
    </sheetView>
  </sheetViews>
  <sheetFormatPr defaultColWidth="8.85546875" defaultRowHeight="15"/>
  <cols>
    <col min="1" max="1" width="61.7109375" bestFit="1" customWidth="1"/>
    <col min="2" max="2" width="10.140625" customWidth="1"/>
    <col min="4" max="4" width="10.42578125" customWidth="1"/>
  </cols>
  <sheetData>
    <row r="1" spans="1:25" ht="19.5" thickBot="1">
      <c r="A1" s="48" t="s">
        <v>0</v>
      </c>
      <c r="B1" s="2"/>
      <c r="C1" s="2"/>
    </row>
    <row r="2" spans="1:25" ht="15.75" hidden="1" thickBot="1">
      <c r="B2" s="857">
        <v>2012</v>
      </c>
      <c r="C2" s="858"/>
      <c r="D2" s="857">
        <v>2013</v>
      </c>
      <c r="E2" s="858"/>
      <c r="F2" s="857">
        <v>2014</v>
      </c>
      <c r="G2" s="858"/>
      <c r="H2" s="857" t="s">
        <v>160</v>
      </c>
      <c r="I2" s="858"/>
    </row>
    <row r="3" spans="1:25" ht="16.5" hidden="1" thickBot="1">
      <c r="A3" s="27" t="s">
        <v>27</v>
      </c>
      <c r="B3" s="56" t="s">
        <v>103</v>
      </c>
      <c r="C3" s="56" t="s">
        <v>122</v>
      </c>
      <c r="D3" s="56" t="s">
        <v>103</v>
      </c>
      <c r="E3" s="57" t="s">
        <v>122</v>
      </c>
      <c r="F3" s="56" t="s">
        <v>103</v>
      </c>
      <c r="G3" s="57" t="s">
        <v>122</v>
      </c>
      <c r="H3" s="56" t="s">
        <v>103</v>
      </c>
      <c r="I3" s="57" t="s">
        <v>122</v>
      </c>
    </row>
    <row r="4" spans="1:25" ht="15.75" hidden="1" thickBot="1">
      <c r="A4" s="4" t="s">
        <v>43</v>
      </c>
      <c r="B4" s="5">
        <v>10628</v>
      </c>
      <c r="C4" s="32"/>
      <c r="D4" s="5">
        <v>10963</v>
      </c>
      <c r="E4" s="5"/>
      <c r="F4" s="5">
        <v>11086</v>
      </c>
      <c r="H4" s="5">
        <v>10470</v>
      </c>
    </row>
    <row r="5" spans="1:25" ht="15.75" hidden="1" thickBot="1">
      <c r="A5" s="4" t="s">
        <v>44</v>
      </c>
      <c r="B5" s="5">
        <v>9753</v>
      </c>
      <c r="C5" s="32">
        <v>0.91767030485509971</v>
      </c>
      <c r="D5" s="5">
        <v>10148</v>
      </c>
      <c r="E5" s="32">
        <v>0.92565903493569279</v>
      </c>
      <c r="F5" s="5">
        <v>10126</v>
      </c>
      <c r="G5" s="32">
        <f>F5/F4</f>
        <v>0.91340429370377052</v>
      </c>
      <c r="H5" s="5">
        <v>9498</v>
      </c>
      <c r="I5" s="32">
        <f>H5/H4</f>
        <v>0.90716332378223496</v>
      </c>
    </row>
    <row r="6" spans="1:25" ht="15.75" hidden="1" thickBot="1">
      <c r="A6" s="4" t="s">
        <v>45</v>
      </c>
      <c r="B6" s="5">
        <v>875</v>
      </c>
      <c r="C6" s="32">
        <v>8.2329695144900267E-2</v>
      </c>
      <c r="D6" s="5">
        <v>815</v>
      </c>
      <c r="E6" s="32">
        <v>7.4340965064307221E-2</v>
      </c>
      <c r="F6">
        <v>960</v>
      </c>
      <c r="G6" s="32">
        <f>F6/F4</f>
        <v>8.659570629622948E-2</v>
      </c>
      <c r="H6">
        <v>972</v>
      </c>
      <c r="I6" s="32">
        <f>H6/H4</f>
        <v>9.2836676217765049E-2</v>
      </c>
    </row>
    <row r="7" spans="1:25" ht="15.75" hidden="1" thickBot="1"/>
    <row r="8" spans="1:25" ht="15.75" hidden="1" thickBot="1"/>
    <row r="9" spans="1:25" ht="15.75" hidden="1" thickBot="1"/>
    <row r="10" spans="1:25" ht="15.75" hidden="1" thickBot="1"/>
    <row r="11" spans="1:25" ht="15.75" hidden="1" thickBot="1">
      <c r="A11" s="523"/>
      <c r="B11" s="523"/>
      <c r="C11" s="523"/>
      <c r="D11" s="523"/>
      <c r="E11" s="523"/>
      <c r="F11" s="523"/>
      <c r="G11" s="523"/>
      <c r="H11" s="523"/>
      <c r="I11" s="523"/>
      <c r="J11" s="523"/>
      <c r="K11" s="523"/>
      <c r="L11" s="523"/>
      <c r="M11" s="523"/>
      <c r="N11" s="523"/>
      <c r="O11" s="523"/>
      <c r="P11" s="523"/>
      <c r="Q11" s="523"/>
      <c r="R11" s="523"/>
      <c r="S11" s="523"/>
      <c r="T11" s="523"/>
      <c r="U11" s="523"/>
      <c r="V11" s="523"/>
      <c r="W11" s="523"/>
      <c r="X11" s="523"/>
      <c r="Y11" s="523"/>
    </row>
    <row r="12" spans="1:25" ht="15.75" hidden="1" thickBot="1"/>
    <row r="13" spans="1:25" ht="15.75" hidden="1" thickBot="1">
      <c r="A13" s="67" t="s">
        <v>341</v>
      </c>
    </row>
    <row r="14" spans="1:25" ht="15.75" thickBot="1">
      <c r="B14" s="857">
        <v>2012</v>
      </c>
      <c r="C14" s="858"/>
      <c r="D14" s="857">
        <v>2013</v>
      </c>
      <c r="E14" s="858"/>
      <c r="F14" s="857">
        <v>2014</v>
      </c>
      <c r="G14" s="858"/>
      <c r="H14" s="857">
        <v>2015</v>
      </c>
      <c r="I14" s="858"/>
      <c r="J14" s="857">
        <v>2016</v>
      </c>
      <c r="K14" s="858"/>
      <c r="L14" s="857">
        <v>2017</v>
      </c>
      <c r="M14" s="858"/>
      <c r="N14" s="857">
        <v>2018</v>
      </c>
      <c r="O14" s="858"/>
    </row>
    <row r="15" spans="1:25" ht="15.75">
      <c r="A15" s="27" t="s">
        <v>27</v>
      </c>
      <c r="B15" s="56" t="s">
        <v>103</v>
      </c>
      <c r="C15" s="56" t="s">
        <v>122</v>
      </c>
      <c r="D15" s="56" t="s">
        <v>103</v>
      </c>
      <c r="E15" s="57" t="s">
        <v>122</v>
      </c>
      <c r="F15" s="56" t="s">
        <v>103</v>
      </c>
      <c r="G15" s="57" t="s">
        <v>122</v>
      </c>
      <c r="H15" s="56" t="s">
        <v>103</v>
      </c>
      <c r="I15" s="57" t="s">
        <v>122</v>
      </c>
      <c r="J15" s="56" t="s">
        <v>103</v>
      </c>
      <c r="K15" s="57" t="s">
        <v>122</v>
      </c>
      <c r="L15" s="56" t="s">
        <v>103</v>
      </c>
      <c r="M15" s="57" t="s">
        <v>122</v>
      </c>
      <c r="N15" s="56" t="s">
        <v>103</v>
      </c>
      <c r="O15" s="57" t="s">
        <v>122</v>
      </c>
    </row>
    <row r="16" spans="1:25">
      <c r="A16" s="4" t="s">
        <v>43</v>
      </c>
      <c r="B16" s="5">
        <f>SUM(B17:B18)</f>
        <v>9545</v>
      </c>
      <c r="C16" s="32"/>
      <c r="D16" s="5">
        <f>SUM(D17:D18)</f>
        <v>10065</v>
      </c>
      <c r="E16" s="5"/>
      <c r="F16" s="5">
        <f>SUM(F17:F18)</f>
        <v>10394</v>
      </c>
      <c r="H16" s="5">
        <f>SUM(H17:H18)</f>
        <v>9788</v>
      </c>
      <c r="J16" s="5">
        <f>SUM(J17:J18)</f>
        <v>9237</v>
      </c>
      <c r="K16" s="5"/>
      <c r="L16" s="5">
        <f>SUM(L17:L18)</f>
        <v>8778</v>
      </c>
      <c r="N16" s="831"/>
    </row>
    <row r="17" spans="1:15">
      <c r="A17" s="4" t="s">
        <v>44</v>
      </c>
      <c r="B17" s="5">
        <v>8670</v>
      </c>
      <c r="C17" s="32">
        <f>B17/B16</f>
        <v>0.90832896804609742</v>
      </c>
      <c r="D17" s="5">
        <v>9250</v>
      </c>
      <c r="E17" s="32">
        <f>D17/D16</f>
        <v>0.91902632886239444</v>
      </c>
      <c r="F17" s="5">
        <v>9434</v>
      </c>
      <c r="G17" s="32">
        <f>F17/F16</f>
        <v>0.90763902251298822</v>
      </c>
      <c r="H17" s="5">
        <v>8947</v>
      </c>
      <c r="I17" s="32">
        <f>H17/H16</f>
        <v>0.91407846342460153</v>
      </c>
      <c r="J17" s="5">
        <v>8396</v>
      </c>
      <c r="K17" s="32">
        <f>J17/J16</f>
        <v>0.90895312330843347</v>
      </c>
      <c r="L17" s="5">
        <v>7943</v>
      </c>
      <c r="M17" s="32">
        <f>L17/L16</f>
        <v>0.9048758259284575</v>
      </c>
      <c r="N17" s="831"/>
      <c r="O17" s="32" t="e">
        <f>N17/N16</f>
        <v>#DIV/0!</v>
      </c>
    </row>
    <row r="18" spans="1:15">
      <c r="A18" s="4" t="s">
        <v>45</v>
      </c>
      <c r="B18" s="5">
        <v>875</v>
      </c>
      <c r="C18" s="32">
        <f>B18/B16</f>
        <v>9.1671031953902568E-2</v>
      </c>
      <c r="D18">
        <v>815</v>
      </c>
      <c r="E18" s="32">
        <f>D18/D16</f>
        <v>8.0973671137605563E-2</v>
      </c>
      <c r="F18">
        <v>960</v>
      </c>
      <c r="G18" s="32">
        <f>F18/F16</f>
        <v>9.2360977487011733E-2</v>
      </c>
      <c r="H18">
        <v>841</v>
      </c>
      <c r="I18" s="32">
        <f>H18/H16</f>
        <v>8.5921536575398444E-2</v>
      </c>
      <c r="J18">
        <v>841</v>
      </c>
      <c r="K18" s="32">
        <f>J18/J16</f>
        <v>9.1046876691566525E-2</v>
      </c>
      <c r="L18">
        <v>835</v>
      </c>
      <c r="M18" s="32">
        <f>L18/L16</f>
        <v>9.5124174071542486E-2</v>
      </c>
      <c r="N18" s="785"/>
      <c r="O18" s="32" t="e">
        <f>N18/N16</f>
        <v>#DIV/0!</v>
      </c>
    </row>
    <row r="20" spans="1:15">
      <c r="A20" s="4" t="s">
        <v>330</v>
      </c>
    </row>
    <row r="22" spans="1:15">
      <c r="A22" s="37" t="s">
        <v>339</v>
      </c>
    </row>
    <row r="23" spans="1:15">
      <c r="A23" t="s">
        <v>340</v>
      </c>
    </row>
    <row r="27" spans="1:15">
      <c r="A27" s="3" t="s">
        <v>338</v>
      </c>
      <c r="B27" s="3" t="s">
        <v>337</v>
      </c>
    </row>
    <row r="28" spans="1:15">
      <c r="A28" s="51" t="s">
        <v>331</v>
      </c>
      <c r="B28">
        <v>365426</v>
      </c>
    </row>
    <row r="29" spans="1:15">
      <c r="A29" s="51" t="s">
        <v>332</v>
      </c>
      <c r="B29">
        <v>173966</v>
      </c>
    </row>
    <row r="30" spans="1:15">
      <c r="A30" s="51" t="s">
        <v>333</v>
      </c>
      <c r="B30">
        <v>173957</v>
      </c>
    </row>
    <row r="31" spans="1:15">
      <c r="A31" s="51" t="s">
        <v>334</v>
      </c>
      <c r="B31">
        <v>482343</v>
      </c>
    </row>
    <row r="32" spans="1:15">
      <c r="A32" s="51" t="s">
        <v>335</v>
      </c>
      <c r="B32">
        <v>174738</v>
      </c>
    </row>
    <row r="33" spans="1:2">
      <c r="A33" s="51" t="s">
        <v>336</v>
      </c>
      <c r="B33">
        <v>456959</v>
      </c>
    </row>
  </sheetData>
  <mergeCells count="11">
    <mergeCell ref="J14:K14"/>
    <mergeCell ref="L14:M14"/>
    <mergeCell ref="N14:O14"/>
    <mergeCell ref="B2:C2"/>
    <mergeCell ref="D2:E2"/>
    <mergeCell ref="F2:G2"/>
    <mergeCell ref="H2:I2"/>
    <mergeCell ref="B14:C14"/>
    <mergeCell ref="D14:E14"/>
    <mergeCell ref="F14:G14"/>
    <mergeCell ref="H14:I14"/>
  </mergeCells>
  <hyperlinks>
    <hyperlink ref="A22" r:id="rId1"/>
  </hyperlinks>
  <pageMargins left="0.7" right="0.7" top="0.75" bottom="0.75" header="0.3" footer="0.3"/>
  <pageSetup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N62"/>
  <sheetViews>
    <sheetView zoomScale="80" zoomScaleNormal="80" workbookViewId="0">
      <selection activeCell="I11" sqref="I11"/>
    </sheetView>
  </sheetViews>
  <sheetFormatPr defaultColWidth="8.85546875" defaultRowHeight="15"/>
  <cols>
    <col min="1" max="1" width="9.85546875" customWidth="1"/>
    <col min="2" max="2" width="13.140625" customWidth="1"/>
    <col min="3" max="3" width="17.28515625" style="6" bestFit="1" customWidth="1"/>
    <col min="4" max="5" width="15.28515625" customWidth="1"/>
    <col min="6" max="6" width="15.7109375" bestFit="1" customWidth="1"/>
    <col min="7" max="8" width="15.28515625" customWidth="1"/>
    <col min="10" max="10" width="15.28515625" customWidth="1"/>
    <col min="11" max="11" width="10.140625" customWidth="1"/>
    <col min="12" max="12" width="15" customWidth="1"/>
  </cols>
  <sheetData>
    <row r="1" spans="1:14" ht="18.75">
      <c r="A1" s="23" t="s">
        <v>107</v>
      </c>
      <c r="C1"/>
    </row>
    <row r="2" spans="1:14" s="40" customFormat="1" ht="45.75" thickBot="1">
      <c r="A2" s="21" t="s">
        <v>270</v>
      </c>
      <c r="B2" s="21" t="s">
        <v>269</v>
      </c>
      <c r="C2" s="183">
        <v>2012</v>
      </c>
      <c r="D2" s="183">
        <v>2013</v>
      </c>
      <c r="E2" s="183">
        <v>2014</v>
      </c>
      <c r="F2" s="183">
        <v>2015</v>
      </c>
      <c r="G2" s="183">
        <v>2016</v>
      </c>
      <c r="H2" s="183">
        <v>2017</v>
      </c>
      <c r="J2" s="203" t="s">
        <v>271</v>
      </c>
      <c r="K2" s="203" t="s">
        <v>272</v>
      </c>
      <c r="L2" s="203" t="s">
        <v>278</v>
      </c>
    </row>
    <row r="3" spans="1:14" s="40" customFormat="1" ht="43.35" customHeight="1">
      <c r="A3" s="859" t="s">
        <v>281</v>
      </c>
      <c r="B3" s="189" t="s">
        <v>59</v>
      </c>
      <c r="C3" s="190">
        <v>7972564000</v>
      </c>
      <c r="D3" s="191">
        <v>9012546000</v>
      </c>
      <c r="E3" s="192">
        <v>9659554000</v>
      </c>
      <c r="F3" s="192">
        <v>10403481000</v>
      </c>
      <c r="G3" s="191">
        <v>10738906000</v>
      </c>
      <c r="H3" s="193">
        <v>10931165000</v>
      </c>
      <c r="J3" s="185">
        <f>H3-C3</f>
        <v>2958601000</v>
      </c>
      <c r="K3" s="204">
        <f>(H3-C3)/H3</f>
        <v>0.27065742763923151</v>
      </c>
      <c r="L3" s="206"/>
    </row>
    <row r="4" spans="1:14" s="40" customFormat="1" ht="43.35" customHeight="1">
      <c r="A4" s="860"/>
      <c r="B4" s="319" t="s">
        <v>289</v>
      </c>
      <c r="C4" s="320">
        <v>233191507</v>
      </c>
      <c r="D4" s="321">
        <v>251272423</v>
      </c>
      <c r="E4" s="322">
        <v>264263128</v>
      </c>
      <c r="F4" s="322">
        <v>276869213</v>
      </c>
      <c r="G4" s="321">
        <v>289724589</v>
      </c>
      <c r="H4" s="323"/>
      <c r="J4" s="185">
        <f>G4-C4</f>
        <v>56533082</v>
      </c>
      <c r="K4" s="204">
        <f>(G4-C4)/G4</f>
        <v>0.1951269728093393</v>
      </c>
      <c r="L4" s="206"/>
      <c r="N4" s="3" t="s">
        <v>293</v>
      </c>
    </row>
    <row r="5" spans="1:14" s="40" customFormat="1" ht="43.35" customHeight="1">
      <c r="A5" s="860"/>
      <c r="B5" s="319" t="s">
        <v>290</v>
      </c>
      <c r="C5" s="324">
        <v>56955</v>
      </c>
      <c r="D5" s="325">
        <v>57602</v>
      </c>
      <c r="E5" s="326">
        <v>58473</v>
      </c>
      <c r="F5" s="326">
        <v>63304</v>
      </c>
      <c r="G5" s="325">
        <v>61251</v>
      </c>
      <c r="H5" s="323"/>
      <c r="J5" s="329">
        <f>G5-C5</f>
        <v>4296</v>
      </c>
      <c r="K5" s="204">
        <f>(G5-C5)/G5</f>
        <v>7.0137630406034185E-2</v>
      </c>
      <c r="L5" s="206"/>
      <c r="N5" s="3" t="s">
        <v>293</v>
      </c>
    </row>
    <row r="6" spans="1:14" s="40" customFormat="1" ht="43.35" customHeight="1">
      <c r="A6" s="860"/>
      <c r="B6" s="319" t="s">
        <v>291</v>
      </c>
      <c r="C6" s="327"/>
      <c r="D6" s="328"/>
      <c r="E6" s="322">
        <v>181192939</v>
      </c>
      <c r="F6" s="322">
        <v>190059156</v>
      </c>
      <c r="G6" s="321">
        <v>198433136</v>
      </c>
      <c r="H6" s="323"/>
      <c r="J6" s="185">
        <f>G6-E6</f>
        <v>17240197</v>
      </c>
      <c r="K6" s="204">
        <f>(G6-E6)/G6</f>
        <v>8.6881643598073252E-2</v>
      </c>
      <c r="L6" s="206"/>
      <c r="N6" s="3" t="s">
        <v>293</v>
      </c>
    </row>
    <row r="7" spans="1:14" s="40" customFormat="1" ht="43.35" customHeight="1">
      <c r="A7" s="860"/>
      <c r="B7" s="319" t="s">
        <v>292</v>
      </c>
      <c r="C7" s="327"/>
      <c r="D7" s="328"/>
      <c r="E7" s="326">
        <v>42936</v>
      </c>
      <c r="F7" s="326">
        <v>44426</v>
      </c>
      <c r="G7" s="325">
        <v>45110</v>
      </c>
      <c r="H7" s="323"/>
      <c r="J7" s="329">
        <f>G7-E7</f>
        <v>2174</v>
      </c>
      <c r="K7" s="204">
        <f>(G7-E7)/G7</f>
        <v>4.8193305253823988E-2</v>
      </c>
      <c r="L7" s="206"/>
      <c r="N7" s="3" t="s">
        <v>293</v>
      </c>
    </row>
    <row r="8" spans="1:14" s="40" customFormat="1" ht="45">
      <c r="A8" s="861"/>
      <c r="B8" s="184" t="s">
        <v>280</v>
      </c>
      <c r="C8" s="185">
        <v>4876932000</v>
      </c>
      <c r="D8" s="186">
        <v>4990005000</v>
      </c>
      <c r="E8" s="186">
        <v>5273327000</v>
      </c>
      <c r="F8" s="186">
        <v>5385412000</v>
      </c>
      <c r="G8" s="186">
        <v>5491906000</v>
      </c>
      <c r="H8" s="194">
        <v>5680554000</v>
      </c>
      <c r="J8" s="185">
        <f t="shared" ref="J8:J15" si="0">H8-C8</f>
        <v>803622000</v>
      </c>
      <c r="K8" s="204">
        <f t="shared" ref="K8:K15" si="1">(H8-C8)/H8</f>
        <v>0.14146894827511541</v>
      </c>
      <c r="L8" s="206"/>
    </row>
    <row r="9" spans="1:14" ht="45">
      <c r="A9" s="861"/>
      <c r="B9" s="184" t="s">
        <v>279</v>
      </c>
      <c r="C9" s="187">
        <v>799333000</v>
      </c>
      <c r="D9" s="187">
        <v>811388000</v>
      </c>
      <c r="E9" s="188">
        <v>835554000</v>
      </c>
      <c r="F9" s="188">
        <v>838080000</v>
      </c>
      <c r="G9" s="188">
        <v>853780000</v>
      </c>
      <c r="H9" s="195">
        <v>858390000</v>
      </c>
      <c r="J9" s="185">
        <f t="shared" si="0"/>
        <v>59057000</v>
      </c>
      <c r="K9" s="204">
        <f t="shared" si="1"/>
        <v>6.879972972658116E-2</v>
      </c>
      <c r="L9" s="207"/>
    </row>
    <row r="10" spans="1:14" ht="30.75" thickBot="1">
      <c r="A10" s="862"/>
      <c r="B10" s="196" t="s">
        <v>62</v>
      </c>
      <c r="C10" s="197"/>
      <c r="D10" s="197"/>
      <c r="E10" s="197"/>
      <c r="F10" s="197"/>
      <c r="G10" s="197"/>
      <c r="H10" s="198"/>
      <c r="J10" s="185">
        <f t="shared" si="0"/>
        <v>0</v>
      </c>
      <c r="K10" s="205" t="s">
        <v>126</v>
      </c>
      <c r="L10" s="207"/>
    </row>
    <row r="11" spans="1:14" ht="45">
      <c r="A11" s="859" t="s">
        <v>275</v>
      </c>
      <c r="B11" s="189" t="s">
        <v>273</v>
      </c>
      <c r="C11" s="199">
        <v>188678147</v>
      </c>
      <c r="D11" s="199">
        <v>197223477</v>
      </c>
      <c r="E11" s="199">
        <v>197064192</v>
      </c>
      <c r="F11" s="199">
        <v>209630576</v>
      </c>
      <c r="G11" s="199">
        <v>230649837</v>
      </c>
      <c r="H11" s="200">
        <v>241177197</v>
      </c>
      <c r="J11" s="185">
        <f t="shared" si="0"/>
        <v>52499050</v>
      </c>
      <c r="K11" s="204">
        <f t="shared" si="1"/>
        <v>0.21767833216836002</v>
      </c>
      <c r="L11" s="864">
        <f>SUM(J11:J12)/218000000</f>
        <v>0.28468345412844037</v>
      </c>
    </row>
    <row r="12" spans="1:14" ht="30.75" thickBot="1">
      <c r="A12" s="862"/>
      <c r="B12" s="196" t="s">
        <v>274</v>
      </c>
      <c r="C12" s="197"/>
      <c r="D12" s="197"/>
      <c r="E12" s="201">
        <v>5157046</v>
      </c>
      <c r="F12" s="201">
        <v>6413790</v>
      </c>
      <c r="G12" s="201">
        <v>6678702</v>
      </c>
      <c r="H12" s="202">
        <v>9561943</v>
      </c>
      <c r="J12" s="185">
        <f t="shared" si="0"/>
        <v>9561943</v>
      </c>
      <c r="K12" s="204">
        <f t="shared" si="1"/>
        <v>1</v>
      </c>
      <c r="L12" s="865"/>
    </row>
    <row r="13" spans="1:14" ht="45">
      <c r="A13" s="859" t="s">
        <v>276</v>
      </c>
      <c r="B13" s="189" t="s">
        <v>61</v>
      </c>
      <c r="C13" s="199">
        <v>3807041</v>
      </c>
      <c r="D13" s="199">
        <v>4418021</v>
      </c>
      <c r="E13" s="199">
        <v>7641543</v>
      </c>
      <c r="F13" s="199">
        <v>8495759</v>
      </c>
      <c r="G13" s="199">
        <v>8562998</v>
      </c>
      <c r="H13" s="200">
        <v>9432216</v>
      </c>
      <c r="J13" s="185">
        <f t="shared" si="0"/>
        <v>5625175</v>
      </c>
      <c r="K13" s="204">
        <f t="shared" si="1"/>
        <v>0.59637894212770359</v>
      </c>
      <c r="L13" s="864">
        <f>SUM(J13:J15)/271000000</f>
        <v>0.10131667158671587</v>
      </c>
    </row>
    <row r="14" spans="1:14" ht="45">
      <c r="A14" s="861"/>
      <c r="B14" s="184" t="s">
        <v>277</v>
      </c>
      <c r="C14" s="187">
        <v>47961952</v>
      </c>
      <c r="D14" s="187">
        <v>50079492</v>
      </c>
      <c r="E14" s="187">
        <v>50063456</v>
      </c>
      <c r="F14" s="187">
        <v>53345275</v>
      </c>
      <c r="G14" s="187">
        <v>57158028</v>
      </c>
      <c r="H14" s="195">
        <v>61973850</v>
      </c>
      <c r="J14" s="185">
        <f t="shared" si="0"/>
        <v>14011898</v>
      </c>
      <c r="K14" s="204">
        <f t="shared" si="1"/>
        <v>0.22609371533316067</v>
      </c>
      <c r="L14" s="866"/>
    </row>
    <row r="15" spans="1:14" ht="30.75" thickBot="1">
      <c r="A15" s="862"/>
      <c r="B15" s="196" t="s">
        <v>64</v>
      </c>
      <c r="C15" s="201">
        <v>10071132</v>
      </c>
      <c r="D15" s="201">
        <v>10428422</v>
      </c>
      <c r="E15" s="201">
        <v>11052708</v>
      </c>
      <c r="F15" s="201">
        <v>11675132</v>
      </c>
      <c r="G15" s="201">
        <v>16930492</v>
      </c>
      <c r="H15" s="202">
        <v>17890877</v>
      </c>
      <c r="J15" s="185">
        <f t="shared" si="0"/>
        <v>7819745</v>
      </c>
      <c r="K15" s="204">
        <f t="shared" si="1"/>
        <v>0.43708002687626774</v>
      </c>
      <c r="L15" s="865"/>
    </row>
    <row r="16" spans="1:14">
      <c r="C16"/>
    </row>
    <row r="17" spans="1:7">
      <c r="A17" s="38"/>
      <c r="C17"/>
    </row>
    <row r="18" spans="1:7">
      <c r="A18" s="863" t="s">
        <v>192</v>
      </c>
      <c r="B18" s="863"/>
      <c r="C18" s="863"/>
      <c r="D18" s="863"/>
      <c r="E18" s="863"/>
      <c r="F18" s="863"/>
      <c r="G18" s="863"/>
    </row>
    <row r="19" spans="1:7">
      <c r="A19" s="863"/>
      <c r="B19" s="863"/>
      <c r="C19" s="863"/>
      <c r="D19" s="863"/>
      <c r="E19" s="863"/>
      <c r="F19" s="863"/>
      <c r="G19" s="863"/>
    </row>
    <row r="20" spans="1:7">
      <c r="A20" s="863"/>
      <c r="B20" s="863"/>
      <c r="C20" s="863"/>
      <c r="D20" s="863"/>
      <c r="E20" s="863"/>
      <c r="F20" s="863"/>
      <c r="G20" s="863"/>
    </row>
    <row r="21" spans="1:7">
      <c r="A21" s="863"/>
      <c r="B21" s="863"/>
      <c r="C21" s="863"/>
      <c r="D21" s="863"/>
      <c r="E21" s="863"/>
      <c r="F21" s="863"/>
      <c r="G21" s="863"/>
    </row>
    <row r="22" spans="1:7">
      <c r="A22" t="s">
        <v>63</v>
      </c>
      <c r="B22" s="6"/>
      <c r="D22" s="6"/>
      <c r="E22" s="6"/>
      <c r="F22" s="6"/>
      <c r="G22" s="6"/>
    </row>
    <row r="23" spans="1:7">
      <c r="B23" s="6"/>
      <c r="D23" s="6"/>
      <c r="E23" s="6"/>
      <c r="F23" s="6"/>
      <c r="G23" s="6"/>
    </row>
    <row r="24" spans="1:7">
      <c r="B24" s="6"/>
      <c r="D24" s="6"/>
      <c r="E24" s="6"/>
      <c r="F24" s="6"/>
      <c r="G24" s="6"/>
    </row>
    <row r="25" spans="1:7">
      <c r="A25" t="s">
        <v>177</v>
      </c>
      <c r="B25" s="42"/>
      <c r="C25"/>
      <c r="F25" s="6"/>
      <c r="G25" s="6"/>
    </row>
    <row r="26" spans="1:7">
      <c r="A26" t="s">
        <v>172</v>
      </c>
      <c r="B26" s="42"/>
      <c r="C26"/>
      <c r="F26" s="6"/>
      <c r="G26" s="6"/>
    </row>
    <row r="27" spans="1:7">
      <c r="A27" t="s">
        <v>173</v>
      </c>
      <c r="B27" s="42"/>
      <c r="C27"/>
      <c r="F27" s="6"/>
      <c r="G27" s="6"/>
    </row>
    <row r="28" spans="1:7">
      <c r="A28" s="43" t="s">
        <v>174</v>
      </c>
      <c r="C28"/>
      <c r="F28" s="6"/>
      <c r="G28" s="6"/>
    </row>
    <row r="29" spans="1:7">
      <c r="A29" s="43" t="s">
        <v>175</v>
      </c>
      <c r="C29"/>
      <c r="F29" s="6"/>
      <c r="G29" s="6"/>
    </row>
    <row r="30" spans="1:7">
      <c r="A30" s="10" t="s">
        <v>178</v>
      </c>
      <c r="C30"/>
      <c r="F30" s="6"/>
      <c r="G30" s="6"/>
    </row>
    <row r="31" spans="1:7">
      <c r="A31" s="43" t="s">
        <v>179</v>
      </c>
      <c r="C31"/>
      <c r="F31" s="6"/>
      <c r="G31" s="6"/>
    </row>
    <row r="32" spans="1:7">
      <c r="A32" s="19" t="s">
        <v>167</v>
      </c>
      <c r="C32"/>
      <c r="F32" s="6"/>
      <c r="G32" s="6"/>
    </row>
    <row r="33" spans="1:3" ht="14.45" customHeight="1">
      <c r="A33" s="38"/>
      <c r="C33"/>
    </row>
    <row r="34" spans="1:3">
      <c r="A34" s="38"/>
      <c r="C34"/>
    </row>
    <row r="35" spans="1:3">
      <c r="C35"/>
    </row>
    <row r="36" spans="1:3">
      <c r="C36"/>
    </row>
    <row r="37" spans="1:3">
      <c r="A37" s="38"/>
      <c r="C37"/>
    </row>
    <row r="38" spans="1:3">
      <c r="A38" s="38"/>
      <c r="C38"/>
    </row>
    <row r="39" spans="1:3">
      <c r="A39" s="38"/>
      <c r="C39"/>
    </row>
    <row r="40" spans="1:3">
      <c r="C40"/>
    </row>
    <row r="41" spans="1:3">
      <c r="C41"/>
    </row>
    <row r="42" spans="1:3">
      <c r="A42" s="38"/>
    </row>
    <row r="43" spans="1:3">
      <c r="A43" s="38"/>
      <c r="C43"/>
    </row>
    <row r="44" spans="1:3">
      <c r="A44" s="38"/>
      <c r="C44"/>
    </row>
    <row r="45" spans="1:3">
      <c r="A45" s="38"/>
      <c r="B45" s="39"/>
      <c r="C45"/>
    </row>
    <row r="46" spans="1:3" ht="409.5">
      <c r="B46" s="94" t="s">
        <v>192</v>
      </c>
      <c r="C46"/>
    </row>
    <row r="47" spans="1:3">
      <c r="B47" s="94"/>
    </row>
    <row r="48" spans="1:3">
      <c r="B48" s="94"/>
      <c r="C48" s="94"/>
    </row>
    <row r="49" spans="1:3">
      <c r="B49" s="94"/>
      <c r="C49" s="94"/>
    </row>
    <row r="50" spans="1:3">
      <c r="B50" t="s">
        <v>63</v>
      </c>
      <c r="C50" s="94"/>
    </row>
    <row r="51" spans="1:3">
      <c r="C51" s="94"/>
    </row>
    <row r="52" spans="1:3">
      <c r="A52" t="s">
        <v>176</v>
      </c>
    </row>
    <row r="53" spans="1:3">
      <c r="B53" t="s">
        <v>177</v>
      </c>
    </row>
    <row r="54" spans="1:3">
      <c r="B54" t="s">
        <v>172</v>
      </c>
    </row>
    <row r="55" spans="1:3">
      <c r="B55" t="s">
        <v>173</v>
      </c>
      <c r="C55" s="42"/>
    </row>
    <row r="56" spans="1:3">
      <c r="B56" s="43" t="s">
        <v>174</v>
      </c>
      <c r="C56" s="42"/>
    </row>
    <row r="57" spans="1:3">
      <c r="B57" s="43" t="s">
        <v>175</v>
      </c>
      <c r="C57" s="42"/>
    </row>
    <row r="58" spans="1:3">
      <c r="B58" s="10" t="s">
        <v>178</v>
      </c>
      <c r="C58"/>
    </row>
    <row r="59" spans="1:3">
      <c r="B59" s="43" t="s">
        <v>179</v>
      </c>
      <c r="C59"/>
    </row>
    <row r="60" spans="1:3">
      <c r="B60" s="19" t="s">
        <v>167</v>
      </c>
      <c r="C60"/>
    </row>
    <row r="61" spans="1:3">
      <c r="C61"/>
    </row>
    <row r="62" spans="1:3">
      <c r="A62" s="104"/>
      <c r="B62" t="s">
        <v>205</v>
      </c>
      <c r="C62"/>
    </row>
  </sheetData>
  <mergeCells count="6">
    <mergeCell ref="A3:A10"/>
    <mergeCell ref="A11:A12"/>
    <mergeCell ref="A13:A15"/>
    <mergeCell ref="A18:G21"/>
    <mergeCell ref="L11:L12"/>
    <mergeCell ref="L13:L15"/>
  </mergeCells>
  <pageMargins left="0.7" right="0.7" top="0.75" bottom="0.75" header="0.3" footer="0.3"/>
  <pageSetup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9"/>
  <sheetViews>
    <sheetView workbookViewId="0">
      <selection activeCell="C29" sqref="C29"/>
    </sheetView>
  </sheetViews>
  <sheetFormatPr defaultColWidth="8.85546875" defaultRowHeight="15"/>
  <cols>
    <col min="1" max="1" width="39.140625" bestFit="1" customWidth="1"/>
    <col min="2" max="3" width="14.7109375" bestFit="1" customWidth="1"/>
    <col min="4" max="4" width="15.140625" bestFit="1" customWidth="1"/>
    <col min="5" max="6" width="14.7109375" bestFit="1" customWidth="1"/>
  </cols>
  <sheetData>
    <row r="1" spans="1:6" ht="18.75">
      <c r="A1" s="23" t="s">
        <v>180</v>
      </c>
    </row>
    <row r="2" spans="1:6" ht="15.75" thickBot="1"/>
    <row r="3" spans="1:6" ht="15.75" thickBot="1">
      <c r="A3" s="96" t="s">
        <v>185</v>
      </c>
      <c r="B3" s="102">
        <v>2012</v>
      </c>
      <c r="C3" s="102">
        <v>2013</v>
      </c>
      <c r="D3" s="102">
        <v>2014</v>
      </c>
      <c r="E3" s="102">
        <v>2015</v>
      </c>
      <c r="F3" s="102">
        <v>2016</v>
      </c>
    </row>
    <row r="4" spans="1:6">
      <c r="A4" s="96" t="s">
        <v>186</v>
      </c>
      <c r="B4" s="41">
        <v>25641887</v>
      </c>
      <c r="C4" s="41">
        <v>24765299</v>
      </c>
      <c r="D4" s="41">
        <v>26383507</v>
      </c>
      <c r="E4" s="41">
        <v>26237998</v>
      </c>
      <c r="F4" s="41">
        <v>26076906</v>
      </c>
    </row>
    <row r="5" spans="1:6">
      <c r="A5" s="96" t="s">
        <v>190</v>
      </c>
      <c r="B5" s="41">
        <v>0</v>
      </c>
      <c r="C5" s="41">
        <v>0</v>
      </c>
      <c r="D5" s="41">
        <v>1235</v>
      </c>
      <c r="E5" s="41">
        <v>416222</v>
      </c>
      <c r="F5" s="41">
        <v>402384</v>
      </c>
    </row>
    <row r="6" spans="1:6">
      <c r="A6" s="96" t="s">
        <v>187</v>
      </c>
      <c r="B6" s="41">
        <v>11932572</v>
      </c>
      <c r="C6" s="41">
        <v>12273712</v>
      </c>
      <c r="D6" s="41">
        <v>10758935</v>
      </c>
      <c r="E6" s="41">
        <v>14520045</v>
      </c>
      <c r="F6" s="41">
        <v>23437122</v>
      </c>
    </row>
    <row r="7" spans="1:6">
      <c r="A7" s="95" t="s">
        <v>191</v>
      </c>
      <c r="B7" s="97">
        <f>B4+B6</f>
        <v>37574459</v>
      </c>
      <c r="C7" s="97">
        <f>C4+C6</f>
        <v>37039011</v>
      </c>
      <c r="D7" s="97">
        <f>D4+D6</f>
        <v>37142442</v>
      </c>
      <c r="E7" s="97">
        <f>E4+E6</f>
        <v>40758043</v>
      </c>
      <c r="F7" s="97">
        <f>F4+F6</f>
        <v>49514028</v>
      </c>
    </row>
    <row r="9" spans="1:6">
      <c r="A9" s="96" t="s">
        <v>188</v>
      </c>
    </row>
    <row r="11" spans="1:6">
      <c r="A11" t="s">
        <v>189</v>
      </c>
    </row>
    <row r="12" spans="1:6">
      <c r="A12" t="s">
        <v>195</v>
      </c>
    </row>
    <row r="13" spans="1:6">
      <c r="A13" t="s">
        <v>196</v>
      </c>
    </row>
    <row r="19" spans="10:10">
      <c r="J19" s="847"/>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4"/>
  <sheetViews>
    <sheetView workbookViewId="0">
      <selection activeCell="H15" sqref="H15"/>
    </sheetView>
  </sheetViews>
  <sheetFormatPr defaultColWidth="8.85546875" defaultRowHeight="15"/>
  <cols>
    <col min="1" max="1" width="52.28515625" customWidth="1"/>
    <col min="2" max="2" width="11.7109375" style="3" bestFit="1" customWidth="1"/>
    <col min="3" max="4" width="11.140625" bestFit="1" customWidth="1"/>
    <col min="5" max="5" width="11.7109375" style="3" bestFit="1" customWidth="1"/>
    <col min="6" max="9" width="11.7109375" style="3" customWidth="1"/>
    <col min="10" max="11" width="12.7109375" customWidth="1"/>
  </cols>
  <sheetData>
    <row r="1" spans="1:11" ht="18.75">
      <c r="A1" s="48" t="s">
        <v>4</v>
      </c>
      <c r="C1" s="8"/>
    </row>
    <row r="2" spans="1:11" ht="30">
      <c r="B2" s="7">
        <v>2012</v>
      </c>
      <c r="C2" s="13">
        <v>2013</v>
      </c>
      <c r="D2" s="13">
        <v>2014</v>
      </c>
      <c r="E2" s="13">
        <v>2015</v>
      </c>
      <c r="F2" s="13">
        <v>2016</v>
      </c>
      <c r="G2" s="13">
        <v>2017</v>
      </c>
      <c r="H2" s="7">
        <v>2018</v>
      </c>
      <c r="I2" s="7"/>
      <c r="J2" s="83" t="s">
        <v>612</v>
      </c>
      <c r="K2" s="83" t="s">
        <v>613</v>
      </c>
    </row>
    <row r="3" spans="1:11" ht="18.75">
      <c r="A3" s="23" t="s">
        <v>27</v>
      </c>
      <c r="E3"/>
      <c r="F3"/>
      <c r="G3" s="832"/>
    </row>
    <row r="4" spans="1:11">
      <c r="A4" s="2" t="s">
        <v>46</v>
      </c>
      <c r="B4" s="33">
        <v>1115659</v>
      </c>
      <c r="C4" s="5">
        <v>1200751</v>
      </c>
      <c r="D4" s="5">
        <v>1226320</v>
      </c>
      <c r="E4" s="5">
        <v>1291268</v>
      </c>
      <c r="F4" s="5">
        <v>1311000</v>
      </c>
      <c r="G4" s="833">
        <v>1237800</v>
      </c>
      <c r="H4" s="835">
        <v>1448532</v>
      </c>
      <c r="I4" s="33"/>
      <c r="J4" s="5">
        <f t="shared" ref="J4:J9" si="0">H4-B4</f>
        <v>332873</v>
      </c>
      <c r="K4" s="31">
        <f>J4/B4</f>
        <v>0.29836446441072045</v>
      </c>
    </row>
    <row r="5" spans="1:11">
      <c r="A5" s="2" t="s">
        <v>47</v>
      </c>
      <c r="B5" s="34">
        <v>0.57899999999999996</v>
      </c>
      <c r="C5" s="31">
        <v>0.624</v>
      </c>
      <c r="D5" s="31">
        <v>0.621</v>
      </c>
      <c r="E5" s="31">
        <v>0.61899999999999999</v>
      </c>
      <c r="F5" s="31">
        <v>0.626</v>
      </c>
      <c r="G5" s="834"/>
      <c r="H5" s="34">
        <v>0.66200000000000003</v>
      </c>
      <c r="I5" s="34"/>
      <c r="J5" s="32">
        <f t="shared" si="0"/>
        <v>8.3000000000000074E-2</v>
      </c>
      <c r="K5" s="31">
        <f t="shared" ref="K5:K9" si="1">J5/B5</f>
        <v>0.14335060449050099</v>
      </c>
    </row>
    <row r="6" spans="1:11">
      <c r="A6" s="2" t="s">
        <v>413</v>
      </c>
      <c r="B6" s="33">
        <v>5270</v>
      </c>
      <c r="C6" s="5">
        <v>5272</v>
      </c>
      <c r="D6" s="5">
        <v>5419</v>
      </c>
      <c r="E6" s="5">
        <v>5706</v>
      </c>
      <c r="F6" s="5">
        <v>5621</v>
      </c>
      <c r="G6" s="833">
        <v>5161</v>
      </c>
      <c r="H6" s="33">
        <v>5161</v>
      </c>
      <c r="I6" s="33"/>
      <c r="J6" s="5">
        <f t="shared" si="0"/>
        <v>-109</v>
      </c>
      <c r="K6" s="31">
        <f t="shared" si="1"/>
        <v>-2.0683111954459203E-2</v>
      </c>
    </row>
    <row r="7" spans="1:11">
      <c r="A7" s="2" t="s">
        <v>148</v>
      </c>
      <c r="B7" s="3">
        <v>296</v>
      </c>
      <c r="C7">
        <v>215</v>
      </c>
      <c r="D7">
        <v>232</v>
      </c>
      <c r="E7">
        <v>181</v>
      </c>
      <c r="F7">
        <v>249</v>
      </c>
      <c r="G7" s="832">
        <v>125</v>
      </c>
      <c r="H7" s="3">
        <v>65</v>
      </c>
      <c r="J7" s="5">
        <f t="shared" si="0"/>
        <v>-231</v>
      </c>
      <c r="K7" s="31">
        <f t="shared" si="1"/>
        <v>-0.78040540540540537</v>
      </c>
    </row>
    <row r="8" spans="1:11">
      <c r="A8" s="2" t="s">
        <v>52</v>
      </c>
      <c r="B8" s="33">
        <v>358</v>
      </c>
      <c r="C8" s="5">
        <v>335</v>
      </c>
      <c r="D8" s="5">
        <v>367</v>
      </c>
      <c r="E8" s="5">
        <v>274</v>
      </c>
      <c r="F8">
        <v>262</v>
      </c>
      <c r="G8" s="832">
        <v>297</v>
      </c>
      <c r="H8" s="3">
        <v>321</v>
      </c>
      <c r="J8" s="5">
        <f t="shared" si="0"/>
        <v>-37</v>
      </c>
      <c r="K8" s="31">
        <f t="shared" si="1"/>
        <v>-0.10335195530726257</v>
      </c>
    </row>
    <row r="9" spans="1:11">
      <c r="A9" s="2" t="s">
        <v>53</v>
      </c>
      <c r="B9" s="33">
        <v>316312</v>
      </c>
      <c r="C9" s="5">
        <v>337752</v>
      </c>
      <c r="D9" s="5">
        <v>303087</v>
      </c>
      <c r="E9" s="5">
        <v>288603</v>
      </c>
      <c r="F9" s="5">
        <v>295000</v>
      </c>
      <c r="G9" s="833">
        <v>297575</v>
      </c>
      <c r="H9" s="33">
        <v>301409</v>
      </c>
      <c r="I9" s="33"/>
      <c r="J9" s="5">
        <f t="shared" si="0"/>
        <v>-14903</v>
      </c>
      <c r="K9" s="31">
        <f t="shared" si="1"/>
        <v>-4.7114873921950476E-2</v>
      </c>
    </row>
    <row r="10" spans="1:11">
      <c r="G10" s="832"/>
    </row>
    <row r="12" spans="1:11">
      <c r="A12" s="2" t="s">
        <v>50</v>
      </c>
    </row>
    <row r="13" spans="1:11">
      <c r="A13" s="2" t="s">
        <v>282</v>
      </c>
    </row>
    <row r="14" spans="1:11">
      <c r="A14" s="2" t="s">
        <v>54</v>
      </c>
    </row>
    <row r="16" spans="1:11">
      <c r="A16" s="2" t="s">
        <v>414</v>
      </c>
    </row>
    <row r="24" spans="1:1">
      <c r="A24" s="37"/>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K24"/>
  <sheetViews>
    <sheetView workbookViewId="0">
      <selection activeCell="I22" sqref="I22"/>
    </sheetView>
  </sheetViews>
  <sheetFormatPr defaultColWidth="9.140625" defaultRowHeight="15"/>
  <cols>
    <col min="1" max="1" width="50.140625" customWidth="1"/>
    <col min="2" max="7" width="9.140625" style="832"/>
    <col min="8" max="8" width="9.140625" style="3"/>
    <col min="9" max="10" width="12.7109375" customWidth="1"/>
  </cols>
  <sheetData>
    <row r="1" spans="1:11" ht="18.75">
      <c r="A1" s="48" t="s">
        <v>5</v>
      </c>
    </row>
    <row r="2" spans="1:11" ht="30">
      <c r="A2" s="27" t="s">
        <v>2</v>
      </c>
      <c r="B2" s="13">
        <v>2012</v>
      </c>
      <c r="C2" s="13">
        <v>2013</v>
      </c>
      <c r="D2" s="13">
        <v>2014</v>
      </c>
      <c r="E2" s="13">
        <v>2015</v>
      </c>
      <c r="F2" s="836">
        <v>2016</v>
      </c>
      <c r="G2" s="836">
        <v>2017</v>
      </c>
      <c r="H2" s="837">
        <v>2018</v>
      </c>
      <c r="I2" s="83" t="s">
        <v>149</v>
      </c>
      <c r="J2" s="83" t="s">
        <v>150</v>
      </c>
      <c r="K2" t="s">
        <v>76</v>
      </c>
    </row>
    <row r="3" spans="1:11">
      <c r="A3" s="1" t="s">
        <v>7</v>
      </c>
      <c r="B3" s="833">
        <v>663</v>
      </c>
      <c r="C3" s="833">
        <v>698</v>
      </c>
      <c r="D3" s="833">
        <v>790</v>
      </c>
      <c r="E3" s="833">
        <v>893</v>
      </c>
      <c r="F3" s="833">
        <v>782</v>
      </c>
      <c r="G3" s="833"/>
      <c r="H3" s="33"/>
      <c r="I3" s="5">
        <f>E3-B3</f>
        <v>230</v>
      </c>
      <c r="J3" s="31">
        <f>I3/B3</f>
        <v>0.34690799396681749</v>
      </c>
      <c r="K3" t="s">
        <v>130</v>
      </c>
    </row>
    <row r="4" spans="1:11">
      <c r="A4" s="584" t="s">
        <v>427</v>
      </c>
      <c r="B4" s="833"/>
      <c r="C4" s="833"/>
      <c r="D4" s="833"/>
      <c r="E4" s="833"/>
      <c r="F4" s="833"/>
      <c r="G4" s="833">
        <v>109</v>
      </c>
      <c r="H4" s="33"/>
      <c r="I4" s="5"/>
      <c r="J4" s="31"/>
    </row>
    <row r="5" spans="1:11">
      <c r="A5" s="584" t="s">
        <v>428</v>
      </c>
      <c r="B5" s="833"/>
      <c r="C5" s="833"/>
      <c r="D5" s="833"/>
      <c r="E5" s="833"/>
      <c r="F5" s="833"/>
      <c r="G5" s="833"/>
      <c r="H5" s="33"/>
      <c r="I5" s="5"/>
      <c r="J5" s="31"/>
    </row>
    <row r="6" spans="1:11">
      <c r="A6" s="1" t="s">
        <v>66</v>
      </c>
      <c r="B6" s="833">
        <v>449585</v>
      </c>
      <c r="C6" s="833">
        <v>466212</v>
      </c>
      <c r="D6" s="833">
        <v>358156</v>
      </c>
      <c r="E6" s="833">
        <v>494376</v>
      </c>
      <c r="F6" s="833">
        <v>367000</v>
      </c>
      <c r="G6" s="833">
        <v>479698</v>
      </c>
      <c r="H6" s="33"/>
      <c r="I6" s="5">
        <f>E6-B6</f>
        <v>44791</v>
      </c>
      <c r="J6" s="31">
        <f>I6/B6</f>
        <v>9.9627434189307917E-2</v>
      </c>
      <c r="K6" t="s">
        <v>130</v>
      </c>
    </row>
    <row r="7" spans="1:11">
      <c r="A7" s="584" t="s">
        <v>427</v>
      </c>
      <c r="B7" s="833"/>
      <c r="C7" s="833"/>
      <c r="D7" s="833"/>
      <c r="E7" s="833"/>
      <c r="F7" s="833"/>
      <c r="G7" s="833">
        <v>6368</v>
      </c>
      <c r="H7" s="33"/>
      <c r="I7" s="5"/>
      <c r="J7" s="31"/>
    </row>
    <row r="8" spans="1:11">
      <c r="A8" s="2" t="s">
        <v>48</v>
      </c>
      <c r="B8" s="833">
        <v>69</v>
      </c>
      <c r="C8" s="833">
        <v>72</v>
      </c>
      <c r="D8" s="833">
        <v>73</v>
      </c>
      <c r="E8" s="833">
        <v>80</v>
      </c>
      <c r="F8" s="832">
        <v>81</v>
      </c>
      <c r="G8" s="832">
        <v>102</v>
      </c>
      <c r="I8" s="5">
        <f>E8-B8</f>
        <v>11</v>
      </c>
      <c r="J8" s="31">
        <f>I8/B8</f>
        <v>0.15942028985507245</v>
      </c>
      <c r="K8" t="s">
        <v>130</v>
      </c>
    </row>
    <row r="9" spans="1:11">
      <c r="A9" s="2" t="s">
        <v>49</v>
      </c>
      <c r="B9" s="833">
        <v>92700</v>
      </c>
      <c r="C9" s="833">
        <v>112100</v>
      </c>
      <c r="D9" s="833">
        <v>118900</v>
      </c>
      <c r="E9" s="833">
        <v>114550</v>
      </c>
      <c r="F9" s="833">
        <v>135000</v>
      </c>
      <c r="G9" s="833">
        <v>153350</v>
      </c>
      <c r="H9" s="33"/>
      <c r="I9" s="5">
        <f>E9-B9</f>
        <v>21850</v>
      </c>
      <c r="J9" s="31">
        <f>I9/B9</f>
        <v>0.23570658036677455</v>
      </c>
      <c r="K9" t="s">
        <v>130</v>
      </c>
    </row>
    <row r="10" spans="1:11">
      <c r="A10" t="s">
        <v>8</v>
      </c>
      <c r="B10" s="832">
        <v>112</v>
      </c>
      <c r="C10" s="838" t="s">
        <v>126</v>
      </c>
      <c r="D10" s="833">
        <v>118</v>
      </c>
      <c r="E10" s="838" t="s">
        <v>126</v>
      </c>
      <c r="F10" s="838" t="s">
        <v>126</v>
      </c>
      <c r="G10" s="839">
        <v>130</v>
      </c>
      <c r="H10" s="100"/>
      <c r="I10" s="55" t="s">
        <v>126</v>
      </c>
      <c r="J10" s="55" t="s">
        <v>126</v>
      </c>
      <c r="K10" s="795" t="s">
        <v>171</v>
      </c>
    </row>
    <row r="11" spans="1:11">
      <c r="A11" t="s">
        <v>9</v>
      </c>
      <c r="B11" s="840">
        <v>3660.7</v>
      </c>
      <c r="C11" s="838" t="s">
        <v>126</v>
      </c>
      <c r="D11" s="833">
        <v>4100</v>
      </c>
      <c r="E11" s="833">
        <v>4400</v>
      </c>
      <c r="F11" s="838" t="s">
        <v>126</v>
      </c>
      <c r="G11" s="841">
        <v>4960</v>
      </c>
      <c r="H11" s="101"/>
      <c r="I11" s="55" t="s">
        <v>126</v>
      </c>
      <c r="J11" s="55" t="s">
        <v>126</v>
      </c>
      <c r="K11" s="795" t="s">
        <v>171</v>
      </c>
    </row>
    <row r="12" spans="1:11">
      <c r="A12" s="66" t="s">
        <v>169</v>
      </c>
      <c r="B12" s="842" t="s">
        <v>126</v>
      </c>
      <c r="C12" s="838" t="s">
        <v>126</v>
      </c>
      <c r="D12" s="838" t="s">
        <v>126</v>
      </c>
      <c r="E12" s="838" t="s">
        <v>126</v>
      </c>
      <c r="F12" s="838" t="s">
        <v>126</v>
      </c>
      <c r="G12" s="843">
        <v>2770</v>
      </c>
      <c r="H12" s="90"/>
      <c r="I12" s="796"/>
      <c r="J12" s="796"/>
      <c r="K12" t="s">
        <v>168</v>
      </c>
    </row>
    <row r="13" spans="1:11">
      <c r="A13" s="66" t="s">
        <v>170</v>
      </c>
      <c r="B13" s="842" t="s">
        <v>126</v>
      </c>
      <c r="C13" s="838" t="s">
        <v>126</v>
      </c>
      <c r="D13" s="838" t="s">
        <v>126</v>
      </c>
      <c r="E13" s="838" t="s">
        <v>126</v>
      </c>
      <c r="F13" s="838" t="s">
        <v>126</v>
      </c>
      <c r="G13" s="844">
        <v>1550</v>
      </c>
      <c r="H13" s="91"/>
      <c r="I13" s="796"/>
      <c r="J13" s="796"/>
      <c r="K13" t="s">
        <v>168</v>
      </c>
    </row>
    <row r="14" spans="1:11">
      <c r="C14" s="845"/>
      <c r="D14" s="845"/>
      <c r="E14" s="845"/>
      <c r="F14" s="845"/>
      <c r="G14" s="845"/>
      <c r="H14" s="24"/>
      <c r="I14" s="796"/>
      <c r="J14" s="796"/>
    </row>
    <row r="15" spans="1:11">
      <c r="C15" s="845"/>
      <c r="D15" s="845"/>
      <c r="E15" s="845" t="s">
        <v>6</v>
      </c>
      <c r="F15" s="845"/>
      <c r="G15" s="845"/>
      <c r="H15" s="24"/>
      <c r="I15" s="796"/>
      <c r="J15" s="796"/>
    </row>
    <row r="16" spans="1:11" ht="15.75">
      <c r="A16" s="27" t="s">
        <v>1</v>
      </c>
      <c r="C16" s="845"/>
      <c r="D16" s="845"/>
      <c r="E16" s="845"/>
      <c r="F16" s="845"/>
      <c r="G16" s="845"/>
      <c r="H16" s="24"/>
      <c r="I16" s="796"/>
      <c r="J16" s="796"/>
    </row>
    <row r="17" spans="1:11">
      <c r="A17" t="s">
        <v>8</v>
      </c>
      <c r="B17" s="832">
        <v>5</v>
      </c>
      <c r="C17" s="838" t="s">
        <v>126</v>
      </c>
      <c r="D17" s="838" t="s">
        <v>126</v>
      </c>
      <c r="E17" s="838" t="s">
        <v>126</v>
      </c>
      <c r="G17" s="93" t="s">
        <v>182</v>
      </c>
      <c r="H17" s="93"/>
      <c r="I17" s="55" t="s">
        <v>126</v>
      </c>
      <c r="J17" s="55" t="s">
        <v>126</v>
      </c>
      <c r="K17" s="795" t="s">
        <v>131</v>
      </c>
    </row>
    <row r="18" spans="1:11">
      <c r="A18" t="s">
        <v>9</v>
      </c>
      <c r="B18" s="832">
        <v>60.3</v>
      </c>
      <c r="C18" s="838" t="s">
        <v>126</v>
      </c>
      <c r="D18" s="838" t="s">
        <v>126</v>
      </c>
      <c r="E18" s="838">
        <v>4200</v>
      </c>
      <c r="F18" s="832">
        <v>4200</v>
      </c>
      <c r="G18" s="845">
        <v>4410</v>
      </c>
      <c r="H18" s="93"/>
      <c r="I18" s="55" t="s">
        <v>126</v>
      </c>
      <c r="J18" s="55" t="s">
        <v>126</v>
      </c>
      <c r="K18" s="795" t="s">
        <v>131</v>
      </c>
    </row>
    <row r="21" spans="1:11">
      <c r="A21" s="2"/>
      <c r="H21"/>
    </row>
    <row r="22" spans="1:11">
      <c r="A22" t="s">
        <v>429</v>
      </c>
    </row>
    <row r="24" spans="1:11">
      <c r="C24" s="832" t="s">
        <v>6</v>
      </c>
    </row>
  </sheetData>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N10"/>
  <sheetViews>
    <sheetView workbookViewId="0">
      <selection activeCell="A10" sqref="A10"/>
    </sheetView>
  </sheetViews>
  <sheetFormatPr defaultColWidth="8.85546875" defaultRowHeight="15"/>
  <cols>
    <col min="1" max="1" width="40.42578125" bestFit="1" customWidth="1"/>
  </cols>
  <sheetData>
    <row r="1" spans="1:14" ht="18.75">
      <c r="A1" s="48" t="s">
        <v>109</v>
      </c>
      <c r="G1" s="67"/>
    </row>
    <row r="3" spans="1:14" ht="15.75">
      <c r="A3" s="27"/>
      <c r="B3" t="s">
        <v>157</v>
      </c>
      <c r="C3" s="13">
        <v>2009</v>
      </c>
      <c r="D3" s="13">
        <v>2010</v>
      </c>
      <c r="E3" s="13">
        <v>2011</v>
      </c>
      <c r="F3" s="13">
        <v>2012</v>
      </c>
      <c r="G3" s="47">
        <v>2013</v>
      </c>
      <c r="H3" s="13">
        <v>2014</v>
      </c>
      <c r="I3" s="13">
        <v>2015</v>
      </c>
      <c r="J3" s="13">
        <v>2016</v>
      </c>
      <c r="K3" s="13">
        <v>2017</v>
      </c>
      <c r="L3" s="13">
        <v>2018</v>
      </c>
      <c r="M3" s="13">
        <v>2019</v>
      </c>
      <c r="N3" s="13">
        <v>2020</v>
      </c>
    </row>
    <row r="4" spans="1:14" ht="15.75">
      <c r="A4" s="27" t="s">
        <v>29</v>
      </c>
    </row>
    <row r="5" spans="1:14">
      <c r="A5" t="s">
        <v>10</v>
      </c>
      <c r="B5" s="86">
        <v>0.33900000000000002</v>
      </c>
      <c r="C5" s="39" t="s">
        <v>110</v>
      </c>
      <c r="D5" s="39" t="s">
        <v>110</v>
      </c>
      <c r="E5" s="87">
        <v>0.28000000000000003</v>
      </c>
      <c r="F5" s="39" t="s">
        <v>110</v>
      </c>
      <c r="G5" s="84">
        <v>0.28000000000000003</v>
      </c>
      <c r="H5" s="62">
        <v>0.27100000000000002</v>
      </c>
      <c r="I5" s="61">
        <v>0.2311</v>
      </c>
      <c r="J5" s="61">
        <v>0.23130000000000001</v>
      </c>
      <c r="K5" s="61">
        <v>0.22339999999999999</v>
      </c>
    </row>
    <row r="6" spans="1:14">
      <c r="A6" t="s">
        <v>11</v>
      </c>
      <c r="B6" s="39" t="s">
        <v>110</v>
      </c>
      <c r="C6" s="39" t="s">
        <v>110</v>
      </c>
      <c r="D6" s="39" t="s">
        <v>110</v>
      </c>
      <c r="E6" s="39" t="s">
        <v>110</v>
      </c>
      <c r="F6" s="86">
        <v>0.1246</v>
      </c>
      <c r="G6" s="85">
        <v>0.129</v>
      </c>
      <c r="H6" s="63">
        <v>0.13100000000000001</v>
      </c>
      <c r="I6" s="63">
        <v>0.13320000000000001</v>
      </c>
      <c r="J6" s="31">
        <v>0.13300000000000001</v>
      </c>
      <c r="K6" s="31">
        <v>0.1353</v>
      </c>
    </row>
    <row r="7" spans="1:14">
      <c r="A7" t="s">
        <v>65</v>
      </c>
      <c r="B7" s="39" t="s">
        <v>110</v>
      </c>
      <c r="C7" s="86">
        <v>0.443</v>
      </c>
      <c r="D7" s="87">
        <v>0.54</v>
      </c>
      <c r="E7" s="87">
        <v>0.77</v>
      </c>
      <c r="F7" s="87">
        <v>0.79</v>
      </c>
      <c r="G7" s="84">
        <v>0.82</v>
      </c>
      <c r="H7" s="62">
        <v>0.82</v>
      </c>
      <c r="I7" s="39" t="s">
        <v>110</v>
      </c>
    </row>
    <row r="10" spans="1:14">
      <c r="A10" t="s">
        <v>156</v>
      </c>
    </row>
  </sheetData>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Employment and Wages</vt:lpstr>
      <vt:lpstr>MBE</vt:lpstr>
      <vt:lpstr>Higher Education</vt:lpstr>
      <vt:lpstr>Tax Rev</vt:lpstr>
      <vt:lpstr>RPS Property Tax</vt:lpstr>
      <vt:lpstr>Visitors</vt:lpstr>
      <vt:lpstr>Rec &amp; Leisure</vt:lpstr>
      <vt:lpstr>Health 1</vt:lpstr>
      <vt:lpstr>Health 2</vt:lpstr>
      <vt:lpstr>Transit 1</vt:lpstr>
      <vt:lpstr>Transit 2</vt:lpstr>
      <vt:lpstr>Transit 3</vt:lpstr>
      <vt:lpstr>Commuter</vt:lpstr>
      <vt:lpstr>Housing</vt:lpstr>
      <vt:lpstr>Demo-Age</vt:lpstr>
      <vt:lpstr>Demo-Race</vt:lpstr>
      <vt:lpstr>Demo-Income</vt:lpstr>
      <vt:lpstr>Demo-Poverty</vt:lpstr>
      <vt:lpstr>Demo-Unemployment</vt:lpstr>
      <vt:lpstr>Demo-Educ</vt:lpstr>
      <vt:lpstr>Population &amp; Migration</vt:lpstr>
      <vt:lpstr>Cost of Living</vt:lpstr>
      <vt:lpstr>Cost of Living - Housing</vt:lpstr>
      <vt:lpstr>HH AMI% Pie Chart</vt:lpstr>
      <vt:lpstr>Maxwell AH Need &amp; Production</vt:lpstr>
      <vt:lpstr>AH Stock Tracking &amp; Buildt tD</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wcadmin</dc:creator>
  <cp:lastModifiedBy>Jensen, Lauren</cp:lastModifiedBy>
  <dcterms:created xsi:type="dcterms:W3CDTF">2016-06-01T19:34:44Z</dcterms:created>
  <dcterms:modified xsi:type="dcterms:W3CDTF">2020-07-28T21:02:17Z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9fbd71e6b5b94b1c9b9c4ace42e98e95</vt:lpwstr>
  </property>
</Properties>
</file>