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B:\DSI\Community Development\CD Admin\Admin Assistants\General\Templates\"/>
    </mc:Choice>
  </mc:AlternateContent>
  <xr:revisionPtr revIDLastSave="0" documentId="8_{ADCCA35A-E2BB-48B1-82B1-85148706A2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 SFD, ADDS, DECKS, ACCES STR" sheetId="1" r:id="rId1"/>
    <sheet name="Residential Alter." sheetId="2" r:id="rId2"/>
    <sheet name="Mfg. Home" sheetId="7" r:id="rId3"/>
    <sheet name="Business Sign" sheetId="3" r:id="rId4"/>
    <sheet name="Demolition" sheetId="5" r:id="rId5"/>
    <sheet name="Commercial" sheetId="6" r:id="rId6"/>
    <sheet name="Valuation Calculations" sheetId="4" r:id="rId7"/>
    <sheet name="Sheet1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2" l="1"/>
  <c r="F6" i="3"/>
  <c r="F7" i="3" s="1"/>
  <c r="F23" i="3"/>
  <c r="F24" i="3" s="1"/>
  <c r="F26" i="3" s="1"/>
  <c r="F8" i="1"/>
  <c r="B10" i="4"/>
  <c r="B42" i="5"/>
  <c r="B16" i="3"/>
  <c r="I39" i="6"/>
  <c r="I29" i="6"/>
  <c r="I19" i="6"/>
  <c r="I9" i="6"/>
  <c r="F39" i="6"/>
  <c r="F29" i="6"/>
  <c r="F19" i="6"/>
  <c r="F9" i="6"/>
  <c r="B39" i="6"/>
  <c r="B29" i="6"/>
  <c r="B19" i="6"/>
  <c r="B43" i="5"/>
  <c r="B36" i="5"/>
  <c r="B28" i="5"/>
  <c r="B21" i="5"/>
  <c r="B14" i="5"/>
  <c r="F25" i="3"/>
  <c r="F16" i="3"/>
  <c r="F8" i="3"/>
  <c r="B24" i="3"/>
  <c r="F31" i="1"/>
  <c r="F20" i="1"/>
  <c r="F9" i="1"/>
  <c r="B39" i="1"/>
  <c r="B29" i="1"/>
  <c r="B19" i="1"/>
  <c r="K4" i="4"/>
  <c r="H6" i="4"/>
  <c r="E6" i="4"/>
  <c r="F6" i="6"/>
  <c r="F7" i="6" s="1"/>
  <c r="I6" i="6"/>
  <c r="B7" i="6"/>
  <c r="B8" i="6"/>
  <c r="B11" i="6" s="1"/>
  <c r="F8" i="6"/>
  <c r="I8" i="6"/>
  <c r="B16" i="6"/>
  <c r="F16" i="6"/>
  <c r="F17" i="6" s="1"/>
  <c r="I16" i="6"/>
  <c r="I17" i="6" s="1"/>
  <c r="B18" i="6"/>
  <c r="F18" i="6"/>
  <c r="I18" i="6"/>
  <c r="B26" i="6"/>
  <c r="F26" i="6"/>
  <c r="I26" i="6"/>
  <c r="I27" i="6" s="1"/>
  <c r="B28" i="6"/>
  <c r="F28" i="6"/>
  <c r="I28" i="6"/>
  <c r="B36" i="6"/>
  <c r="B37" i="6" s="1"/>
  <c r="F36" i="6"/>
  <c r="I36" i="6"/>
  <c r="I37" i="6" s="1"/>
  <c r="I41" i="6" s="1"/>
  <c r="F37" i="6"/>
  <c r="B38" i="6"/>
  <c r="F38" i="6"/>
  <c r="I38" i="6"/>
  <c r="B8" i="5"/>
  <c r="B13" i="5"/>
  <c r="B15" i="5" s="1"/>
  <c r="B20" i="5"/>
  <c r="B22" i="5" s="1"/>
  <c r="B27" i="5"/>
  <c r="B30" i="5" s="1"/>
  <c r="B35" i="5"/>
  <c r="B37" i="5" s="1"/>
  <c r="B8" i="3"/>
  <c r="B9" i="3"/>
  <c r="B14" i="3"/>
  <c r="B15" i="3" s="1"/>
  <c r="F14" i="3"/>
  <c r="F15" i="3" s="1"/>
  <c r="B22" i="3"/>
  <c r="B23" i="3" s="1"/>
  <c r="B25" i="3" s="1"/>
  <c r="B7" i="7"/>
  <c r="B11" i="7" s="1"/>
  <c r="B8" i="7"/>
  <c r="B16" i="7"/>
  <c r="B17" i="7" s="1"/>
  <c r="B18" i="7"/>
  <c r="B26" i="7"/>
  <c r="B28" i="7"/>
  <c r="F6" i="2"/>
  <c r="B7" i="2"/>
  <c r="B8" i="2"/>
  <c r="F8" i="2"/>
  <c r="B16" i="2"/>
  <c r="B17" i="2" s="1"/>
  <c r="F16" i="2"/>
  <c r="B18" i="2"/>
  <c r="F18" i="2"/>
  <c r="B26" i="2"/>
  <c r="F26" i="2"/>
  <c r="B28" i="2"/>
  <c r="F28" i="2"/>
  <c r="B36" i="2"/>
  <c r="B37" i="2"/>
  <c r="B41" i="2"/>
  <c r="B38" i="2"/>
  <c r="F6" i="1"/>
  <c r="B7" i="1"/>
  <c r="B11" i="1" s="1"/>
  <c r="F7" i="1"/>
  <c r="B8" i="1"/>
  <c r="B16" i="1"/>
  <c r="F17" i="1"/>
  <c r="B18" i="1"/>
  <c r="B21" i="1" s="1"/>
  <c r="F19" i="1"/>
  <c r="B26" i="1"/>
  <c r="B27" i="1" s="1"/>
  <c r="B28" i="1"/>
  <c r="F28" i="1"/>
  <c r="F29" i="1" s="1"/>
  <c r="F30" i="1"/>
  <c r="B36" i="1"/>
  <c r="B38" i="1"/>
  <c r="B17" i="1"/>
  <c r="B21" i="7" l="1"/>
  <c r="I21" i="6"/>
  <c r="F21" i="6"/>
  <c r="F11" i="6"/>
  <c r="B44" i="5"/>
  <c r="B31" i="1"/>
  <c r="F11" i="1"/>
  <c r="B41" i="6"/>
  <c r="B41" i="1"/>
  <c r="F17" i="2"/>
  <c r="F21" i="2" s="1"/>
  <c r="F9" i="3"/>
  <c r="B11" i="2"/>
  <c r="B37" i="1"/>
  <c r="F18" i="1"/>
  <c r="F22" i="1" s="1"/>
  <c r="F17" i="3"/>
  <c r="F41" i="6"/>
  <c r="B27" i="6"/>
  <c r="B31" i="6" s="1"/>
  <c r="B27" i="2"/>
  <c r="B31" i="2" s="1"/>
  <c r="B21" i="6"/>
  <c r="B27" i="7"/>
  <c r="B31" i="7" s="1"/>
  <c r="B17" i="3"/>
  <c r="F27" i="6"/>
  <c r="F31" i="6" s="1"/>
  <c r="I31" i="6"/>
  <c r="B21" i="2"/>
  <c r="F33" i="1"/>
  <c r="F31" i="2"/>
  <c r="F7" i="2"/>
  <c r="F11" i="2" s="1"/>
  <c r="F12" i="1"/>
  <c r="I7" i="6"/>
  <c r="I11" i="6" s="1"/>
  <c r="B17" i="6"/>
  <c r="F23" i="1" l="1"/>
</calcChain>
</file>

<file path=xl/sharedStrings.xml><?xml version="1.0" encoding="utf-8"?>
<sst xmlns="http://schemas.openxmlformats.org/spreadsheetml/2006/main" count="301" uniqueCount="51">
  <si>
    <t>Valuation</t>
  </si>
  <si>
    <t>Building Permit Fee</t>
  </si>
  <si>
    <t>Plan Review Fee</t>
  </si>
  <si>
    <t>MN Surcharge</t>
  </si>
  <si>
    <t>Zoning Fee</t>
  </si>
  <si>
    <t>Total Fee</t>
  </si>
  <si>
    <t>500-2000</t>
  </si>
  <si>
    <t xml:space="preserve"> 2001 - 25,000</t>
  </si>
  <si>
    <t xml:space="preserve"> 25001 - 50000</t>
  </si>
  <si>
    <t>50001 - 100000</t>
  </si>
  <si>
    <t>100,000 - 500,000</t>
  </si>
  <si>
    <t>500,000 - 1,000,000</t>
  </si>
  <si>
    <t>PIF Fee</t>
  </si>
  <si>
    <t>W/O Pif Fee</t>
  </si>
  <si>
    <t>SIGN</t>
  </si>
  <si>
    <t>NEW RESIDENTIAL</t>
  </si>
  <si>
    <t>ALTERATIONS</t>
  </si>
  <si>
    <t>&lt; 500</t>
  </si>
  <si>
    <t>Valutation</t>
  </si>
  <si>
    <t>Mn Surcharge</t>
  </si>
  <si>
    <t>500 - 2000</t>
  </si>
  <si>
    <t>&lt;500</t>
  </si>
  <si>
    <t>Finished main/upper level</t>
  </si>
  <si>
    <t>Finished Basement</t>
  </si>
  <si>
    <t>Unfinished Basement</t>
  </si>
  <si>
    <t>Attached Garage</t>
  </si>
  <si>
    <t>Covered Porch</t>
  </si>
  <si>
    <t>Deck</t>
  </si>
  <si>
    <t>Total Valuation</t>
  </si>
  <si>
    <t>Length</t>
  </si>
  <si>
    <t>Width</t>
  </si>
  <si>
    <t>Decks</t>
  </si>
  <si>
    <t>Square Feet</t>
  </si>
  <si>
    <t>With PIF Fee Total</t>
  </si>
  <si>
    <t>With Pif Fee Total</t>
  </si>
  <si>
    <t>Detach Garage</t>
  </si>
  <si>
    <t>Basement Finish</t>
  </si>
  <si>
    <t>SFD Valuation Calculations</t>
  </si>
  <si>
    <t>DEMOLITION</t>
  </si>
  <si>
    <t>1,000,000 - 2,000,000</t>
  </si>
  <si>
    <t>2,000,000 - 3,000,000</t>
  </si>
  <si>
    <t>3,000,000 - 4,000,000</t>
  </si>
  <si>
    <t>4,000,000 - 5,000,000</t>
  </si>
  <si>
    <t>GREATER THAN 5,000,000</t>
  </si>
  <si>
    <t>TOTAL FEE</t>
  </si>
  <si>
    <t xml:space="preserve">COMMERCIAL </t>
  </si>
  <si>
    <t>25001 - 50000</t>
  </si>
  <si>
    <t>Manufactured Home Installation</t>
  </si>
  <si>
    <r>
      <t xml:space="preserve">(Does </t>
    </r>
    <r>
      <rPr>
        <u/>
        <sz val="10"/>
        <color indexed="10"/>
        <rFont val="Arial"/>
        <family val="2"/>
      </rPr>
      <t>not</t>
    </r>
    <r>
      <rPr>
        <sz val="10"/>
        <color indexed="10"/>
        <rFont val="Arial"/>
        <family val="2"/>
      </rPr>
      <t xml:space="preserve"> include $5.00 Drive Approach fee)</t>
    </r>
  </si>
  <si>
    <t>100001 +</t>
  </si>
  <si>
    <t>100001 and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</si>
</sst>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4" fillId="0" borderId="0" xfId="0" applyFont="1"/>
    <xf numFmtId="164" fontId="3" fillId="0" borderId="0" xfId="0" applyNumberFormat="1" applyFont="1"/>
    <xf numFmtId="164" fontId="0" fillId="0" borderId="0" xfId="0" applyNumberFormat="1"/>
    <xf numFmtId="16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164" fontId="6" fillId="0" borderId="0" xfId="0" applyNumberFormat="1" applyFont="1"/>
    <xf numFmtId="0" fontId="6" fillId="0" borderId="0" xfId="0" applyFont="1"/>
    <xf numFmtId="0" fontId="7" fillId="0" borderId="0" xfId="0" applyFont="1"/>
    <xf numFmtId="164" fontId="8" fillId="0" borderId="0" xfId="0" applyNumberFormat="1" applyFont="1"/>
    <xf numFmtId="0" fontId="9" fillId="0" borderId="0" xfId="0" applyFont="1"/>
    <xf numFmtId="3" fontId="4" fillId="0" borderId="0" xfId="0" applyNumberFormat="1" applyFont="1"/>
    <xf numFmtId="17" fontId="0" fillId="0" borderId="0" xfId="0" applyNumberFormat="1"/>
    <xf numFmtId="44" fontId="11" fillId="0" borderId="0" xfId="1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11</xdr:row>
      <xdr:rowOff>76200</xdr:rowOff>
    </xdr:from>
    <xdr:to>
      <xdr:col>6</xdr:col>
      <xdr:colOff>485775</xdr:colOff>
      <xdr:row>11</xdr:row>
      <xdr:rowOff>76200</xdr:rowOff>
    </xdr:to>
    <xdr:sp macro="" textlink="">
      <xdr:nvSpPr>
        <xdr:cNvPr id="1424" name="Line 1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>
          <a:spLocks noChangeShapeType="1"/>
        </xdr:cNvSpPr>
      </xdr:nvSpPr>
      <xdr:spPr bwMode="auto">
        <a:xfrm>
          <a:off x="5695950" y="1933575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22</xdr:row>
      <xdr:rowOff>95250</xdr:rowOff>
    </xdr:from>
    <xdr:to>
      <xdr:col>6</xdr:col>
      <xdr:colOff>504825</xdr:colOff>
      <xdr:row>22</xdr:row>
      <xdr:rowOff>95250</xdr:rowOff>
    </xdr:to>
    <xdr:sp macro="" textlink="">
      <xdr:nvSpPr>
        <xdr:cNvPr id="1425" name="Line 2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>
          <a:spLocks noChangeShapeType="1"/>
        </xdr:cNvSpPr>
      </xdr:nvSpPr>
      <xdr:spPr bwMode="auto">
        <a:xfrm>
          <a:off x="5686425" y="381000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32</xdr:row>
      <xdr:rowOff>95250</xdr:rowOff>
    </xdr:from>
    <xdr:to>
      <xdr:col>6</xdr:col>
      <xdr:colOff>552450</xdr:colOff>
      <xdr:row>32</xdr:row>
      <xdr:rowOff>95250</xdr:rowOff>
    </xdr:to>
    <xdr:sp macro="" textlink="">
      <xdr:nvSpPr>
        <xdr:cNvPr id="1426" name="Line 3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>
          <a:spLocks noChangeShapeType="1"/>
        </xdr:cNvSpPr>
      </xdr:nvSpPr>
      <xdr:spPr bwMode="auto">
        <a:xfrm>
          <a:off x="5686425" y="5505450"/>
          <a:ext cx="428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workbookViewId="0">
      <selection activeCell="C2" sqref="C2"/>
    </sheetView>
  </sheetViews>
  <sheetFormatPr defaultRowHeight="12.75" x14ac:dyDescent="0.2"/>
  <cols>
    <col min="1" max="1" width="18.28515625" customWidth="1"/>
    <col min="2" max="2" width="12.7109375" bestFit="1" customWidth="1"/>
    <col min="5" max="5" width="23.28515625" customWidth="1"/>
    <col min="6" max="6" width="10.85546875" customWidth="1"/>
  </cols>
  <sheetData>
    <row r="1" spans="1:8" ht="15.75" x14ac:dyDescent="0.25">
      <c r="A1" s="2" t="s">
        <v>15</v>
      </c>
      <c r="C1" s="14">
        <v>45315</v>
      </c>
    </row>
    <row r="3" spans="1:8" ht="15.75" x14ac:dyDescent="0.25">
      <c r="A3" s="2" t="s">
        <v>17</v>
      </c>
      <c r="E3" s="2" t="s">
        <v>9</v>
      </c>
      <c r="F3" s="5"/>
    </row>
    <row r="4" spans="1:8" x14ac:dyDescent="0.2">
      <c r="F4" s="4"/>
    </row>
    <row r="5" spans="1:8" x14ac:dyDescent="0.2">
      <c r="A5" t="s">
        <v>18</v>
      </c>
      <c r="B5" s="5">
        <v>450</v>
      </c>
      <c r="E5" t="s">
        <v>0</v>
      </c>
      <c r="F5" s="5">
        <v>51000</v>
      </c>
    </row>
    <row r="6" spans="1:8" x14ac:dyDescent="0.2">
      <c r="A6" t="s">
        <v>1</v>
      </c>
      <c r="B6" s="4">
        <v>25</v>
      </c>
      <c r="E6" t="s">
        <v>1</v>
      </c>
      <c r="F6" s="4">
        <f>424.5+ROUNDUP((F5-50000),-3)/1000*4.5</f>
        <v>429</v>
      </c>
    </row>
    <row r="7" spans="1:8" x14ac:dyDescent="0.2">
      <c r="A7" t="s">
        <v>2</v>
      </c>
      <c r="B7" s="4">
        <f>B6*0.35</f>
        <v>8.75</v>
      </c>
      <c r="E7" t="s">
        <v>2</v>
      </c>
      <c r="F7" s="4">
        <f>F6*0.35</f>
        <v>150.14999999999998</v>
      </c>
    </row>
    <row r="8" spans="1:8" x14ac:dyDescent="0.2">
      <c r="A8" t="s">
        <v>19</v>
      </c>
      <c r="B8" s="4">
        <f>B5*0.0005</f>
        <v>0.22500000000000001</v>
      </c>
      <c r="E8" t="s">
        <v>3</v>
      </c>
      <c r="F8" s="4">
        <f>F5*0.0005</f>
        <v>25.5</v>
      </c>
    </row>
    <row r="9" spans="1:8" x14ac:dyDescent="0.2">
      <c r="A9" t="s">
        <v>4</v>
      </c>
      <c r="B9" s="4">
        <v>30</v>
      </c>
      <c r="E9" t="s">
        <v>4</v>
      </c>
      <c r="F9" s="4">
        <f>195.2+(ROUNDUP(F5-50000,-3)/1000)*0.8</f>
        <v>196</v>
      </c>
    </row>
    <row r="10" spans="1:8" x14ac:dyDescent="0.2">
      <c r="B10" s="4"/>
      <c r="E10" t="s">
        <v>12</v>
      </c>
      <c r="F10" s="4">
        <v>4050</v>
      </c>
    </row>
    <row r="11" spans="1:8" x14ac:dyDescent="0.2">
      <c r="A11" s="1" t="s">
        <v>5</v>
      </c>
      <c r="B11" s="11">
        <f>B6+B7+B8+B9</f>
        <v>63.975000000000001</v>
      </c>
      <c r="E11" s="1" t="s">
        <v>13</v>
      </c>
      <c r="F11" s="11">
        <f>F6+F7+F8+F9</f>
        <v>800.65</v>
      </c>
      <c r="H11" s="10"/>
    </row>
    <row r="12" spans="1:8" x14ac:dyDescent="0.2">
      <c r="E12" s="1" t="s">
        <v>34</v>
      </c>
      <c r="F12" s="11">
        <f>F6+F7+F8+F9+F10</f>
        <v>4850.6499999999996</v>
      </c>
      <c r="H12" s="12" t="s">
        <v>48</v>
      </c>
    </row>
    <row r="13" spans="1:8" ht="15.75" x14ac:dyDescent="0.25">
      <c r="A13" s="2" t="s">
        <v>20</v>
      </c>
    </row>
    <row r="14" spans="1:8" ht="15.75" x14ac:dyDescent="0.25">
      <c r="E14" s="2" t="s">
        <v>10</v>
      </c>
    </row>
    <row r="15" spans="1:8" x14ac:dyDescent="0.2">
      <c r="A15" t="s">
        <v>0</v>
      </c>
      <c r="B15" s="5">
        <v>2000</v>
      </c>
    </row>
    <row r="16" spans="1:8" x14ac:dyDescent="0.2">
      <c r="A16" t="s">
        <v>1</v>
      </c>
      <c r="B16" s="4">
        <f>25+ROUNDUP((B15-500),-2)/100*2</f>
        <v>55</v>
      </c>
      <c r="E16" t="s">
        <v>0</v>
      </c>
      <c r="F16" s="5">
        <v>225000</v>
      </c>
    </row>
    <row r="17" spans="1:8" x14ac:dyDescent="0.2">
      <c r="A17" t="s">
        <v>2</v>
      </c>
      <c r="B17" s="4">
        <f>B16*0.35</f>
        <v>19.25</v>
      </c>
      <c r="E17" t="s">
        <v>1</v>
      </c>
      <c r="F17" s="4">
        <f>649.5+ROUNDUP((F16-100000),-3)/1000*3.5</f>
        <v>1087</v>
      </c>
    </row>
    <row r="18" spans="1:8" x14ac:dyDescent="0.2">
      <c r="A18" t="s">
        <v>3</v>
      </c>
      <c r="B18" s="4">
        <f>B15*0.0005</f>
        <v>1</v>
      </c>
      <c r="E18" t="s">
        <v>2</v>
      </c>
      <c r="F18" s="4">
        <f>F17*0.35</f>
        <v>380.45</v>
      </c>
    </row>
    <row r="19" spans="1:8" x14ac:dyDescent="0.2">
      <c r="A19" t="s">
        <v>4</v>
      </c>
      <c r="B19" s="4">
        <f>30+(ROUNDUP(B15-500,-2)/100)*1.8</f>
        <v>57</v>
      </c>
      <c r="E19" t="s">
        <v>3</v>
      </c>
      <c r="F19" s="4">
        <f>F16*0.0005</f>
        <v>112.5</v>
      </c>
    </row>
    <row r="20" spans="1:8" x14ac:dyDescent="0.2">
      <c r="B20" s="4"/>
      <c r="E20" t="s">
        <v>4</v>
      </c>
      <c r="F20" s="4">
        <f>235.2+(ROUNDUP(F16-100000,-3)/1000)*0.25</f>
        <v>266.45</v>
      </c>
    </row>
    <row r="21" spans="1:8" x14ac:dyDescent="0.2">
      <c r="A21" s="1" t="s">
        <v>5</v>
      </c>
      <c r="B21" s="11">
        <f>B16+B17+B18+B19</f>
        <v>132.25</v>
      </c>
      <c r="E21" t="s">
        <v>12</v>
      </c>
      <c r="F21" s="4">
        <v>4050</v>
      </c>
    </row>
    <row r="22" spans="1:8" x14ac:dyDescent="0.2">
      <c r="B22" s="4"/>
      <c r="E22" s="1" t="s">
        <v>13</v>
      </c>
      <c r="F22" s="11">
        <f>F17+F18+F19+F20</f>
        <v>1846.4</v>
      </c>
    </row>
    <row r="23" spans="1:8" ht="15.75" x14ac:dyDescent="0.25">
      <c r="A23" s="2" t="s">
        <v>7</v>
      </c>
      <c r="B23" s="4"/>
      <c r="E23" s="1" t="s">
        <v>33</v>
      </c>
      <c r="F23" s="11">
        <f>F17+F18+F19+F20+F21</f>
        <v>5896.4</v>
      </c>
      <c r="H23" s="12" t="s">
        <v>48</v>
      </c>
    </row>
    <row r="24" spans="1:8" x14ac:dyDescent="0.2">
      <c r="B24" s="4"/>
    </row>
    <row r="25" spans="1:8" ht="15.75" x14ac:dyDescent="0.25">
      <c r="A25" t="s">
        <v>0</v>
      </c>
      <c r="B25" s="5">
        <v>10000</v>
      </c>
      <c r="E25" s="2" t="s">
        <v>11</v>
      </c>
    </row>
    <row r="26" spans="1:8" x14ac:dyDescent="0.2">
      <c r="A26" t="s">
        <v>1</v>
      </c>
      <c r="B26" s="4">
        <f>55+ROUNDUP((B25-2000),-3)/1000*9</f>
        <v>127</v>
      </c>
    </row>
    <row r="27" spans="1:8" x14ac:dyDescent="0.2">
      <c r="A27" t="s">
        <v>2</v>
      </c>
      <c r="B27" s="4">
        <f>B26*0.35</f>
        <v>44.449999999999996</v>
      </c>
      <c r="E27" t="s">
        <v>0</v>
      </c>
      <c r="F27" s="5">
        <v>500001</v>
      </c>
    </row>
    <row r="28" spans="1:8" x14ac:dyDescent="0.2">
      <c r="A28" t="s">
        <v>3</v>
      </c>
      <c r="B28" s="4">
        <f>B25*0.0005</f>
        <v>5</v>
      </c>
      <c r="E28" t="s">
        <v>1</v>
      </c>
      <c r="F28" s="4">
        <f>2049.5+ROUNDUP((F27-500000),-3)/1000*3</f>
        <v>2052.5</v>
      </c>
    </row>
    <row r="29" spans="1:8" x14ac:dyDescent="0.2">
      <c r="A29" t="s">
        <v>4</v>
      </c>
      <c r="B29" s="4">
        <f>57+(ROUNDUP(B25-2000,-3)/1000)*3.4</f>
        <v>84.2</v>
      </c>
      <c r="E29" t="s">
        <v>2</v>
      </c>
      <c r="F29" s="4">
        <f>F28*0.35</f>
        <v>718.375</v>
      </c>
    </row>
    <row r="30" spans="1:8" x14ac:dyDescent="0.2">
      <c r="B30" s="4"/>
      <c r="E30" t="s">
        <v>3</v>
      </c>
      <c r="F30" s="4">
        <f>F27*0.0005</f>
        <v>250.00050000000002</v>
      </c>
    </row>
    <row r="31" spans="1:8" x14ac:dyDescent="0.2">
      <c r="A31" s="1" t="s">
        <v>5</v>
      </c>
      <c r="B31" s="11">
        <f>B26+B27+B28+B29</f>
        <v>260.64999999999998</v>
      </c>
      <c r="E31" t="s">
        <v>4</v>
      </c>
      <c r="F31" s="4">
        <f>235.2+(ROUNDUP(F27-100000,-3)/1000)*0.25</f>
        <v>335.45</v>
      </c>
    </row>
    <row r="32" spans="1:8" x14ac:dyDescent="0.2">
      <c r="B32" s="4"/>
      <c r="E32" t="s">
        <v>12</v>
      </c>
      <c r="F32" s="4">
        <v>4050</v>
      </c>
    </row>
    <row r="33" spans="1:8" ht="15.75" x14ac:dyDescent="0.25">
      <c r="A33" s="2" t="s">
        <v>8</v>
      </c>
      <c r="B33" s="4"/>
      <c r="E33" s="1" t="s">
        <v>5</v>
      </c>
      <c r="F33" s="11">
        <f>F28+F29+F30+F31+F32</f>
        <v>7406.3254999999999</v>
      </c>
      <c r="H33" s="12" t="s">
        <v>48</v>
      </c>
    </row>
    <row r="34" spans="1:8" x14ac:dyDescent="0.2">
      <c r="B34" s="4"/>
    </row>
    <row r="35" spans="1:8" x14ac:dyDescent="0.2">
      <c r="A35" t="s">
        <v>0</v>
      </c>
      <c r="B35" s="5">
        <v>28000</v>
      </c>
    </row>
    <row r="36" spans="1:8" x14ac:dyDescent="0.2">
      <c r="A36" t="s">
        <v>1</v>
      </c>
      <c r="B36" s="4">
        <f>262+ROUNDUP((B35-25000),-3)/1000*6.5</f>
        <v>281.5</v>
      </c>
    </row>
    <row r="37" spans="1:8" x14ac:dyDescent="0.2">
      <c r="A37" t="s">
        <v>2</v>
      </c>
      <c r="B37" s="4">
        <f>B36*0.35</f>
        <v>98.524999999999991</v>
      </c>
    </row>
    <row r="38" spans="1:8" x14ac:dyDescent="0.2">
      <c r="A38" t="s">
        <v>3</v>
      </c>
      <c r="B38" s="4">
        <f>B35*0.0005</f>
        <v>14</v>
      </c>
    </row>
    <row r="39" spans="1:8" x14ac:dyDescent="0.2">
      <c r="A39" t="s">
        <v>4</v>
      </c>
      <c r="B39" s="4">
        <f>135.2+(ROUNDUP(B35-25000,-3)/1000)*2.4</f>
        <v>142.39999999999998</v>
      </c>
    </row>
    <row r="40" spans="1:8" x14ac:dyDescent="0.2">
      <c r="B40" s="4"/>
    </row>
    <row r="41" spans="1:8" x14ac:dyDescent="0.2">
      <c r="A41" s="1" t="s">
        <v>5</v>
      </c>
      <c r="B41" s="11">
        <f>B36+B37+B38+B39</f>
        <v>536.42499999999995</v>
      </c>
    </row>
    <row r="43" spans="1:8" ht="15.75" x14ac:dyDescent="0.25">
      <c r="A43" s="2"/>
    </row>
  </sheetData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1"/>
  <sheetViews>
    <sheetView workbookViewId="0">
      <selection activeCell="F19" sqref="F19"/>
    </sheetView>
  </sheetViews>
  <sheetFormatPr defaultRowHeight="12.75" x14ac:dyDescent="0.2"/>
  <cols>
    <col min="1" max="1" width="17.5703125" customWidth="1"/>
    <col min="2" max="2" width="12.5703125" customWidth="1"/>
    <col min="5" max="5" width="18.7109375" customWidth="1"/>
    <col min="6" max="6" width="13.28515625" customWidth="1"/>
  </cols>
  <sheetData>
    <row r="1" spans="1:6" ht="15.75" x14ac:dyDescent="0.25">
      <c r="A1" s="2" t="s">
        <v>16</v>
      </c>
    </row>
    <row r="3" spans="1:6" ht="15.75" x14ac:dyDescent="0.25">
      <c r="A3" s="2" t="s">
        <v>17</v>
      </c>
      <c r="E3" s="2" t="s">
        <v>9</v>
      </c>
      <c r="F3" s="5"/>
    </row>
    <row r="4" spans="1:6" x14ac:dyDescent="0.2">
      <c r="F4" s="4"/>
    </row>
    <row r="5" spans="1:6" x14ac:dyDescent="0.2">
      <c r="A5" t="s">
        <v>18</v>
      </c>
      <c r="B5" s="5">
        <v>379</v>
      </c>
      <c r="E5" t="s">
        <v>0</v>
      </c>
      <c r="F5" s="5">
        <v>46000</v>
      </c>
    </row>
    <row r="6" spans="1:6" x14ac:dyDescent="0.2">
      <c r="A6" t="s">
        <v>1</v>
      </c>
      <c r="B6" s="4">
        <v>25</v>
      </c>
      <c r="E6" t="s">
        <v>1</v>
      </c>
      <c r="F6" s="4">
        <f>424.5+ROUNDUP((F5-50000),-3)/1000*4.5</f>
        <v>406.5</v>
      </c>
    </row>
    <row r="7" spans="1:6" x14ac:dyDescent="0.2">
      <c r="A7" t="s">
        <v>2</v>
      </c>
      <c r="B7" s="4">
        <f>B6*0.35</f>
        <v>8.75</v>
      </c>
      <c r="E7" t="s">
        <v>2</v>
      </c>
      <c r="F7" s="4">
        <f>F6*0.35</f>
        <v>142.27499999999998</v>
      </c>
    </row>
    <row r="8" spans="1:6" x14ac:dyDescent="0.2">
      <c r="A8" t="s">
        <v>19</v>
      </c>
      <c r="B8" s="4">
        <f>B5*0.0005</f>
        <v>0.1895</v>
      </c>
      <c r="E8" t="s">
        <v>3</v>
      </c>
      <c r="F8" s="4">
        <f>F5*0.0005</f>
        <v>23</v>
      </c>
    </row>
    <row r="9" spans="1:6" x14ac:dyDescent="0.2">
      <c r="A9" t="s">
        <v>4</v>
      </c>
      <c r="B9" s="4">
        <v>30</v>
      </c>
      <c r="E9" t="s">
        <v>4</v>
      </c>
      <c r="F9" s="4">
        <v>30</v>
      </c>
    </row>
    <row r="10" spans="1:6" x14ac:dyDescent="0.2">
      <c r="B10" s="4"/>
      <c r="F10" s="4"/>
    </row>
    <row r="11" spans="1:6" x14ac:dyDescent="0.2">
      <c r="A11" s="1" t="s">
        <v>5</v>
      </c>
      <c r="B11" s="8">
        <f>B6+B7+B8+B9</f>
        <v>63.939500000000002</v>
      </c>
      <c r="E11" s="1" t="s">
        <v>5</v>
      </c>
      <c r="F11" s="8">
        <f>F6+F7+F8+F9</f>
        <v>601.77499999999998</v>
      </c>
    </row>
    <row r="12" spans="1:6" x14ac:dyDescent="0.2">
      <c r="E12" s="1"/>
      <c r="F12" s="3"/>
    </row>
    <row r="13" spans="1:6" ht="15.75" x14ac:dyDescent="0.25">
      <c r="A13" s="2" t="s">
        <v>6</v>
      </c>
      <c r="E13" s="2" t="s">
        <v>10</v>
      </c>
    </row>
    <row r="15" spans="1:6" x14ac:dyDescent="0.2">
      <c r="A15" t="s">
        <v>0</v>
      </c>
      <c r="B15" s="5">
        <v>1200</v>
      </c>
      <c r="E15" t="s">
        <v>0</v>
      </c>
      <c r="F15" s="5">
        <v>120000</v>
      </c>
    </row>
    <row r="16" spans="1:6" x14ac:dyDescent="0.2">
      <c r="A16" t="s">
        <v>1</v>
      </c>
      <c r="B16" s="4">
        <f>25+ROUNDUP((B15-500),-2)/100*2</f>
        <v>39</v>
      </c>
      <c r="E16" t="s">
        <v>1</v>
      </c>
      <c r="F16" s="4">
        <f>649.5+ROUNDUP((F15-100000),-3)/1000*3.5</f>
        <v>719.5</v>
      </c>
    </row>
    <row r="17" spans="1:6" x14ac:dyDescent="0.2">
      <c r="A17" t="s">
        <v>2</v>
      </c>
      <c r="B17" s="4">
        <f>B16*0.35</f>
        <v>13.649999999999999</v>
      </c>
      <c r="E17" t="s">
        <v>2</v>
      </c>
      <c r="F17" s="4">
        <f>F16*0.35</f>
        <v>251.82499999999999</v>
      </c>
    </row>
    <row r="18" spans="1:6" x14ac:dyDescent="0.2">
      <c r="A18" t="s">
        <v>3</v>
      </c>
      <c r="B18" s="4">
        <f>B15*0.0005</f>
        <v>0.6</v>
      </c>
      <c r="E18" t="s">
        <v>3</v>
      </c>
      <c r="F18" s="4">
        <f>F15*0.0005</f>
        <v>60</v>
      </c>
    </row>
    <row r="19" spans="1:6" x14ac:dyDescent="0.2">
      <c r="A19" t="s">
        <v>4</v>
      </c>
      <c r="B19" s="4">
        <v>30</v>
      </c>
      <c r="E19" t="s">
        <v>4</v>
      </c>
      <c r="F19" s="4">
        <v>30</v>
      </c>
    </row>
    <row r="20" spans="1:6" x14ac:dyDescent="0.2">
      <c r="B20" s="4"/>
      <c r="F20" s="4"/>
    </row>
    <row r="21" spans="1:6" x14ac:dyDescent="0.2">
      <c r="A21" s="1" t="s">
        <v>5</v>
      </c>
      <c r="B21" s="8">
        <f>B16+B17+B18+B19</f>
        <v>83.25</v>
      </c>
      <c r="E21" s="1" t="s">
        <v>5</v>
      </c>
      <c r="F21" s="8">
        <f>F16+F17+F18+F19+F20</f>
        <v>1061.325</v>
      </c>
    </row>
    <row r="22" spans="1:6" x14ac:dyDescent="0.2">
      <c r="B22" s="4"/>
    </row>
    <row r="23" spans="1:6" ht="15.75" x14ac:dyDescent="0.25">
      <c r="A23" s="2" t="s">
        <v>7</v>
      </c>
      <c r="B23" s="4"/>
      <c r="E23" s="2" t="s">
        <v>11</v>
      </c>
    </row>
    <row r="24" spans="1:6" x14ac:dyDescent="0.2">
      <c r="B24" s="4"/>
    </row>
    <row r="25" spans="1:6" x14ac:dyDescent="0.2">
      <c r="A25" t="s">
        <v>0</v>
      </c>
      <c r="B25" s="15">
        <v>16000</v>
      </c>
      <c r="E25" t="s">
        <v>0</v>
      </c>
      <c r="F25" s="5">
        <v>537645</v>
      </c>
    </row>
    <row r="26" spans="1:6" x14ac:dyDescent="0.2">
      <c r="A26" t="s">
        <v>1</v>
      </c>
      <c r="B26" s="4">
        <f>55+ROUNDUP((B25-2000),-3)/1000*9</f>
        <v>181</v>
      </c>
      <c r="E26" t="s">
        <v>1</v>
      </c>
      <c r="F26" s="4">
        <f>2049.5+ROUNDUP((F25-500000),-3)/1000*3</f>
        <v>2163.5</v>
      </c>
    </row>
    <row r="27" spans="1:6" x14ac:dyDescent="0.2">
      <c r="A27" t="s">
        <v>2</v>
      </c>
      <c r="B27" s="4">
        <f>B26*0.35</f>
        <v>63.349999999999994</v>
      </c>
      <c r="E27" t="s">
        <v>2</v>
      </c>
      <c r="F27" s="4">
        <f>F26*0.35</f>
        <v>757.22499999999991</v>
      </c>
    </row>
    <row r="28" spans="1:6" x14ac:dyDescent="0.2">
      <c r="A28" t="s">
        <v>3</v>
      </c>
      <c r="B28" s="4">
        <f>B25*0.0005</f>
        <v>8</v>
      </c>
      <c r="E28" t="s">
        <v>3</v>
      </c>
      <c r="F28" s="4">
        <f>F25*0.0005</f>
        <v>268.82249999999999</v>
      </c>
    </row>
    <row r="29" spans="1:6" x14ac:dyDescent="0.2">
      <c r="A29" t="s">
        <v>4</v>
      </c>
      <c r="B29" s="4">
        <v>30</v>
      </c>
      <c r="E29" t="s">
        <v>4</v>
      </c>
      <c r="F29" s="4">
        <v>30</v>
      </c>
    </row>
    <row r="30" spans="1:6" x14ac:dyDescent="0.2">
      <c r="B30" s="4"/>
      <c r="F30" s="4"/>
    </row>
    <row r="31" spans="1:6" x14ac:dyDescent="0.2">
      <c r="A31" s="1" t="s">
        <v>5</v>
      </c>
      <c r="B31" s="8">
        <f>B26+B27+B28+B29</f>
        <v>282.35000000000002</v>
      </c>
      <c r="E31" s="1" t="s">
        <v>5</v>
      </c>
      <c r="F31" s="8">
        <f>F26+F27+F28+F29+F30</f>
        <v>3219.5474999999997</v>
      </c>
    </row>
    <row r="32" spans="1:6" x14ac:dyDescent="0.2">
      <c r="B32" s="4"/>
    </row>
    <row r="33" spans="1:2" ht="15.75" x14ac:dyDescent="0.25">
      <c r="A33" s="2" t="s">
        <v>8</v>
      </c>
      <c r="B33" s="4"/>
    </row>
    <row r="34" spans="1:2" x14ac:dyDescent="0.2">
      <c r="B34" s="4"/>
    </row>
    <row r="35" spans="1:2" x14ac:dyDescent="0.2">
      <c r="A35" t="s">
        <v>0</v>
      </c>
      <c r="B35" s="5">
        <v>80000</v>
      </c>
    </row>
    <row r="36" spans="1:2" x14ac:dyDescent="0.2">
      <c r="A36" t="s">
        <v>1</v>
      </c>
      <c r="B36" s="4">
        <f>262+ROUNDUP((B35-25000),-3)/1000*6.5</f>
        <v>619.5</v>
      </c>
    </row>
    <row r="37" spans="1:2" x14ac:dyDescent="0.2">
      <c r="A37" t="s">
        <v>2</v>
      </c>
      <c r="B37" s="4">
        <f>B36*0.35</f>
        <v>216.82499999999999</v>
      </c>
    </row>
    <row r="38" spans="1:2" x14ac:dyDescent="0.2">
      <c r="A38" t="s">
        <v>3</v>
      </c>
      <c r="B38" s="4">
        <f>B35*0.0005</f>
        <v>40</v>
      </c>
    </row>
    <row r="39" spans="1:2" x14ac:dyDescent="0.2">
      <c r="A39" t="s">
        <v>4</v>
      </c>
      <c r="B39" s="4">
        <v>30</v>
      </c>
    </row>
    <row r="40" spans="1:2" x14ac:dyDescent="0.2">
      <c r="B40" s="4"/>
    </row>
    <row r="41" spans="1:2" x14ac:dyDescent="0.2">
      <c r="A41" s="1" t="s">
        <v>5</v>
      </c>
      <c r="B41" s="8">
        <f>B36+B37+B38+B39</f>
        <v>906.32500000000005</v>
      </c>
    </row>
  </sheetData>
  <sheetProtection sheet="1" objects="1" scenarios="1"/>
  <phoneticPr fontId="2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1"/>
  <sheetViews>
    <sheetView workbookViewId="0">
      <selection activeCell="B14" sqref="B14"/>
    </sheetView>
  </sheetViews>
  <sheetFormatPr defaultRowHeight="12.75" x14ac:dyDescent="0.2"/>
  <cols>
    <col min="1" max="1" width="18.140625" customWidth="1"/>
    <col min="2" max="2" width="12.7109375" customWidth="1"/>
  </cols>
  <sheetData>
    <row r="1" spans="1:2" ht="15.75" x14ac:dyDescent="0.25">
      <c r="A1" s="2" t="s">
        <v>47</v>
      </c>
    </row>
    <row r="3" spans="1:2" ht="15.75" x14ac:dyDescent="0.25">
      <c r="A3" s="2" t="s">
        <v>17</v>
      </c>
    </row>
    <row r="5" spans="1:2" x14ac:dyDescent="0.2">
      <c r="A5" t="s">
        <v>18</v>
      </c>
      <c r="B5" s="5">
        <v>379</v>
      </c>
    </row>
    <row r="6" spans="1:2" x14ac:dyDescent="0.2">
      <c r="A6" t="s">
        <v>1</v>
      </c>
      <c r="B6" s="4">
        <v>25</v>
      </c>
    </row>
    <row r="7" spans="1:2" x14ac:dyDescent="0.2">
      <c r="A7" t="s">
        <v>2</v>
      </c>
      <c r="B7" s="4">
        <f>B6*0.35</f>
        <v>8.75</v>
      </c>
    </row>
    <row r="8" spans="1:2" x14ac:dyDescent="0.2">
      <c r="A8" t="s">
        <v>19</v>
      </c>
      <c r="B8" s="4">
        <f>B5*0.0005</f>
        <v>0.1895</v>
      </c>
    </row>
    <row r="9" spans="1:2" x14ac:dyDescent="0.2">
      <c r="A9" t="s">
        <v>4</v>
      </c>
      <c r="B9" s="4">
        <v>40</v>
      </c>
    </row>
    <row r="10" spans="1:2" x14ac:dyDescent="0.2">
      <c r="B10" s="4"/>
    </row>
    <row r="11" spans="1:2" x14ac:dyDescent="0.2">
      <c r="A11" s="1" t="s">
        <v>5</v>
      </c>
      <c r="B11" s="11">
        <f>B6+B7+B8+B9</f>
        <v>73.93950000000001</v>
      </c>
    </row>
    <row r="13" spans="1:2" ht="15.75" x14ac:dyDescent="0.25">
      <c r="A13" s="2" t="s">
        <v>20</v>
      </c>
    </row>
    <row r="15" spans="1:2" x14ac:dyDescent="0.2">
      <c r="A15" t="s">
        <v>0</v>
      </c>
      <c r="B15" s="5">
        <v>2175</v>
      </c>
    </row>
    <row r="16" spans="1:2" x14ac:dyDescent="0.2">
      <c r="A16" t="s">
        <v>1</v>
      </c>
      <c r="B16" s="4">
        <f>25+ROUNDUP((B15-500),-2)/100*2</f>
        <v>59</v>
      </c>
    </row>
    <row r="17" spans="1:2" x14ac:dyDescent="0.2">
      <c r="A17" t="s">
        <v>2</v>
      </c>
      <c r="B17" s="4">
        <f>B16*0.35</f>
        <v>20.65</v>
      </c>
    </row>
    <row r="18" spans="1:2" x14ac:dyDescent="0.2">
      <c r="A18" t="s">
        <v>3</v>
      </c>
      <c r="B18" s="4">
        <f>B15*0.0005</f>
        <v>1.0875000000000001</v>
      </c>
    </row>
    <row r="19" spans="1:2" x14ac:dyDescent="0.2">
      <c r="A19" t="s">
        <v>4</v>
      </c>
      <c r="B19" s="4">
        <v>40</v>
      </c>
    </row>
    <row r="20" spans="1:2" x14ac:dyDescent="0.2">
      <c r="B20" s="4"/>
    </row>
    <row r="21" spans="1:2" x14ac:dyDescent="0.2">
      <c r="A21" s="1" t="s">
        <v>5</v>
      </c>
      <c r="B21" s="11">
        <f>B16+B17+B18+B19</f>
        <v>120.73750000000001</v>
      </c>
    </row>
    <row r="22" spans="1:2" x14ac:dyDescent="0.2">
      <c r="B22" s="4"/>
    </row>
    <row r="23" spans="1:2" ht="15.75" x14ac:dyDescent="0.25">
      <c r="A23" s="2" t="s">
        <v>7</v>
      </c>
      <c r="B23" s="4"/>
    </row>
    <row r="24" spans="1:2" x14ac:dyDescent="0.2">
      <c r="B24" s="4"/>
    </row>
    <row r="25" spans="1:2" x14ac:dyDescent="0.2">
      <c r="A25" t="s">
        <v>0</v>
      </c>
      <c r="B25" s="5">
        <v>2175</v>
      </c>
    </row>
    <row r="26" spans="1:2" x14ac:dyDescent="0.2">
      <c r="A26" t="s">
        <v>1</v>
      </c>
      <c r="B26" s="4">
        <f>55+ROUNDUP((B25-2000),-3)/1000*9</f>
        <v>64</v>
      </c>
    </row>
    <row r="27" spans="1:2" x14ac:dyDescent="0.2">
      <c r="A27" t="s">
        <v>2</v>
      </c>
      <c r="B27" s="4">
        <f>B26*0.35</f>
        <v>22.4</v>
      </c>
    </row>
    <row r="28" spans="1:2" x14ac:dyDescent="0.2">
      <c r="A28" t="s">
        <v>3</v>
      </c>
      <c r="B28" s="4">
        <f>B25*0.0005</f>
        <v>1.0875000000000001</v>
      </c>
    </row>
    <row r="29" spans="1:2" x14ac:dyDescent="0.2">
      <c r="A29" t="s">
        <v>4</v>
      </c>
      <c r="B29" s="4">
        <v>40</v>
      </c>
    </row>
    <row r="30" spans="1:2" x14ac:dyDescent="0.2">
      <c r="B30" s="4"/>
    </row>
    <row r="31" spans="1:2" x14ac:dyDescent="0.2">
      <c r="A31" s="1" t="s">
        <v>5</v>
      </c>
      <c r="B31" s="11">
        <f>B26+B27+B28+B29</f>
        <v>127.48750000000001</v>
      </c>
    </row>
  </sheetData>
  <sheetProtection sheet="1" objects="1" scenarios="1"/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6"/>
  <sheetViews>
    <sheetView workbookViewId="0">
      <selection activeCell="E15" sqref="E15"/>
    </sheetView>
  </sheetViews>
  <sheetFormatPr defaultRowHeight="12.75" x14ac:dyDescent="0.2"/>
  <cols>
    <col min="1" max="1" width="19" customWidth="1"/>
    <col min="2" max="2" width="13.5703125" customWidth="1"/>
    <col min="5" max="5" width="18.140625" customWidth="1"/>
    <col min="6" max="6" width="10.85546875" customWidth="1"/>
  </cols>
  <sheetData>
    <row r="1" spans="1:6" ht="15.75" x14ac:dyDescent="0.25">
      <c r="A1" s="2" t="s">
        <v>14</v>
      </c>
    </row>
    <row r="3" spans="1:6" ht="15.75" x14ac:dyDescent="0.25">
      <c r="A3" s="2" t="s">
        <v>21</v>
      </c>
      <c r="E3" s="2" t="s">
        <v>46</v>
      </c>
      <c r="F3" s="4"/>
    </row>
    <row r="4" spans="1:6" x14ac:dyDescent="0.2">
      <c r="F4" s="4"/>
    </row>
    <row r="5" spans="1:6" x14ac:dyDescent="0.2">
      <c r="A5" t="s">
        <v>0</v>
      </c>
      <c r="B5" s="6">
        <v>500</v>
      </c>
      <c r="E5" t="s">
        <v>0</v>
      </c>
      <c r="F5" s="5">
        <v>30000</v>
      </c>
    </row>
    <row r="6" spans="1:6" x14ac:dyDescent="0.2">
      <c r="A6" t="s">
        <v>1</v>
      </c>
      <c r="B6">
        <v>25</v>
      </c>
      <c r="E6" t="s">
        <v>1</v>
      </c>
      <c r="F6" s="4">
        <f>262+ROUNDUP((F5-25000),-3)/1000*6.5</f>
        <v>294.5</v>
      </c>
    </row>
    <row r="7" spans="1:6" x14ac:dyDescent="0.2">
      <c r="A7" t="s">
        <v>4</v>
      </c>
      <c r="B7">
        <v>30</v>
      </c>
      <c r="E7" t="s">
        <v>2</v>
      </c>
      <c r="F7" s="4">
        <f>F6*0.65</f>
        <v>191.42500000000001</v>
      </c>
    </row>
    <row r="8" spans="1:6" x14ac:dyDescent="0.2">
      <c r="A8" t="s">
        <v>2</v>
      </c>
      <c r="B8">
        <f>B6*0.65</f>
        <v>16.25</v>
      </c>
      <c r="E8" t="s">
        <v>4</v>
      </c>
      <c r="F8" s="4">
        <f>174.9+(ROUNDUP(F5-25000,-3)/1000)*2.1</f>
        <v>185.4</v>
      </c>
    </row>
    <row r="9" spans="1:6" x14ac:dyDescent="0.2">
      <c r="A9" s="1" t="s">
        <v>5</v>
      </c>
      <c r="B9" s="9">
        <f>B6+B7+B8</f>
        <v>71.25</v>
      </c>
      <c r="E9" s="1" t="s">
        <v>5</v>
      </c>
      <c r="F9" s="8">
        <f>F6+F7+F8</f>
        <v>671.32500000000005</v>
      </c>
    </row>
    <row r="11" spans="1:6" ht="15.75" x14ac:dyDescent="0.25">
      <c r="A11" s="2" t="s">
        <v>6</v>
      </c>
      <c r="E11" s="2" t="s">
        <v>9</v>
      </c>
      <c r="F11" s="5"/>
    </row>
    <row r="12" spans="1:6" x14ac:dyDescent="0.2">
      <c r="F12" s="4"/>
    </row>
    <row r="13" spans="1:6" x14ac:dyDescent="0.2">
      <c r="A13" t="s">
        <v>0</v>
      </c>
      <c r="B13" s="5">
        <v>1000</v>
      </c>
      <c r="E13" t="s">
        <v>0</v>
      </c>
      <c r="F13" s="5">
        <v>70000</v>
      </c>
    </row>
    <row r="14" spans="1:6" x14ac:dyDescent="0.2">
      <c r="A14" t="s">
        <v>1</v>
      </c>
      <c r="B14" s="4">
        <f>25+ROUNDUP((B13-500),-2)/100*2</f>
        <v>35</v>
      </c>
      <c r="E14" t="s">
        <v>1</v>
      </c>
      <c r="F14" s="4">
        <f>424.5+ROUNDUP((F13-50000),-3)/1000*4.5</f>
        <v>514.5</v>
      </c>
    </row>
    <row r="15" spans="1:6" x14ac:dyDescent="0.2">
      <c r="A15" t="s">
        <v>2</v>
      </c>
      <c r="B15" s="4">
        <f>B14*0.65</f>
        <v>22.75</v>
      </c>
      <c r="E15" t="s">
        <v>2</v>
      </c>
      <c r="F15" s="4">
        <f>F14*0.65</f>
        <v>334.42500000000001</v>
      </c>
    </row>
    <row r="16" spans="1:6" x14ac:dyDescent="0.2">
      <c r="A16" t="s">
        <v>4</v>
      </c>
      <c r="B16" s="4">
        <f>30+(ROUNDUP(B13-500,-2)/100)*2.3</f>
        <v>41.5</v>
      </c>
      <c r="E16" t="s">
        <v>4</v>
      </c>
      <c r="F16" s="4">
        <f>227.4+(ROUNDUP(F13-50000,-3)/1000)*1.4</f>
        <v>255.4</v>
      </c>
    </row>
    <row r="17" spans="1:6" x14ac:dyDescent="0.2">
      <c r="A17" s="1" t="s">
        <v>5</v>
      </c>
      <c r="B17" s="8">
        <f>B14+B15+B16</f>
        <v>99.25</v>
      </c>
      <c r="E17" s="1" t="s">
        <v>5</v>
      </c>
      <c r="F17" s="8">
        <f>F14+F15+F16</f>
        <v>1104.325</v>
      </c>
    </row>
    <row r="19" spans="1:6" ht="15.75" x14ac:dyDescent="0.25">
      <c r="A19" s="2" t="s">
        <v>7</v>
      </c>
      <c r="B19" s="4"/>
    </row>
    <row r="20" spans="1:6" ht="15.75" x14ac:dyDescent="0.25">
      <c r="B20" s="4"/>
      <c r="E20" s="2" t="s">
        <v>49</v>
      </c>
      <c r="F20" s="5"/>
    </row>
    <row r="21" spans="1:6" x14ac:dyDescent="0.2">
      <c r="A21" t="s">
        <v>0</v>
      </c>
      <c r="B21" s="5">
        <v>4000</v>
      </c>
      <c r="F21" s="4"/>
    </row>
    <row r="22" spans="1:6" x14ac:dyDescent="0.2">
      <c r="A22" t="s">
        <v>1</v>
      </c>
      <c r="B22" s="4">
        <f>55+ROUNDUP((B21-2000),-3)/1000*9</f>
        <v>73</v>
      </c>
      <c r="E22" t="s">
        <v>0</v>
      </c>
      <c r="F22" s="5">
        <v>120000</v>
      </c>
    </row>
    <row r="23" spans="1:6" x14ac:dyDescent="0.2">
      <c r="A23" t="s">
        <v>2</v>
      </c>
      <c r="B23" s="4">
        <f>B22*0.65</f>
        <v>47.45</v>
      </c>
      <c r="E23" t="s">
        <v>1</v>
      </c>
      <c r="F23" s="4">
        <f>649.5+ROUNDUP((F22-100000),-3)/1000*3.5</f>
        <v>719.5</v>
      </c>
    </row>
    <row r="24" spans="1:6" x14ac:dyDescent="0.2">
      <c r="A24" t="s">
        <v>4</v>
      </c>
      <c r="B24" s="4">
        <f>64.5+(ROUNDUP(B21-2000,-3)/1000)*4.8</f>
        <v>74.099999999999994</v>
      </c>
      <c r="E24" t="s">
        <v>2</v>
      </c>
      <c r="F24" s="4">
        <f>F23*0.65</f>
        <v>467.67500000000001</v>
      </c>
    </row>
    <row r="25" spans="1:6" x14ac:dyDescent="0.2">
      <c r="A25" s="1" t="s">
        <v>5</v>
      </c>
      <c r="B25" s="8">
        <f>B22+B23+B24</f>
        <v>194.55</v>
      </c>
      <c r="E25" t="s">
        <v>4</v>
      </c>
      <c r="F25" s="4">
        <f>297.4+(ROUNDUP(F13-50000,-3)/1000)*0.25</f>
        <v>302.39999999999998</v>
      </c>
    </row>
    <row r="26" spans="1:6" x14ac:dyDescent="0.2">
      <c r="E26" s="1" t="s">
        <v>5</v>
      </c>
      <c r="F26" s="8">
        <f>F23+F24+F25</f>
        <v>1489.5749999999998</v>
      </c>
    </row>
  </sheetData>
  <sheetProtection sheet="1" objects="1" scenarios="1"/>
  <phoneticPr fontId="2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4"/>
  <sheetViews>
    <sheetView topLeftCell="A10" workbookViewId="0">
      <selection activeCell="B21" sqref="B21"/>
    </sheetView>
  </sheetViews>
  <sheetFormatPr defaultRowHeight="12.75" x14ac:dyDescent="0.2"/>
  <cols>
    <col min="1" max="1" width="17.28515625" customWidth="1"/>
    <col min="2" max="2" width="12.42578125" customWidth="1"/>
  </cols>
  <sheetData>
    <row r="1" spans="1:2" ht="15.75" x14ac:dyDescent="0.25">
      <c r="A1" s="2" t="s">
        <v>38</v>
      </c>
    </row>
    <row r="3" spans="1:2" ht="15.75" x14ac:dyDescent="0.25">
      <c r="A3" s="2" t="s">
        <v>21</v>
      </c>
    </row>
    <row r="5" spans="1:2" x14ac:dyDescent="0.2">
      <c r="A5" t="s">
        <v>0</v>
      </c>
      <c r="B5" s="5">
        <v>400</v>
      </c>
    </row>
    <row r="6" spans="1:2" x14ac:dyDescent="0.2">
      <c r="A6" t="s">
        <v>1</v>
      </c>
      <c r="B6" s="4">
        <v>25</v>
      </c>
    </row>
    <row r="7" spans="1:2" x14ac:dyDescent="0.2">
      <c r="A7" t="s">
        <v>4</v>
      </c>
      <c r="B7" s="4">
        <v>30</v>
      </c>
    </row>
    <row r="8" spans="1:2" x14ac:dyDescent="0.2">
      <c r="A8" s="1" t="s">
        <v>5</v>
      </c>
      <c r="B8" s="8">
        <f>B6+B7</f>
        <v>55</v>
      </c>
    </row>
    <row r="10" spans="1:2" ht="15.75" x14ac:dyDescent="0.25">
      <c r="A10" s="2" t="s">
        <v>6</v>
      </c>
    </row>
    <row r="12" spans="1:2" x14ac:dyDescent="0.2">
      <c r="A12" t="s">
        <v>0</v>
      </c>
      <c r="B12" s="5">
        <v>600</v>
      </c>
    </row>
    <row r="13" spans="1:2" x14ac:dyDescent="0.2">
      <c r="A13" t="s">
        <v>1</v>
      </c>
      <c r="B13" s="4">
        <f>25+ROUNDUP((B12-500),-2)/100*2</f>
        <v>27</v>
      </c>
    </row>
    <row r="14" spans="1:2" x14ac:dyDescent="0.2">
      <c r="A14" t="s">
        <v>4</v>
      </c>
      <c r="B14" s="4">
        <f>30+(ROUNDUP(B12-500,-2)/100)*2.3</f>
        <v>32.299999999999997</v>
      </c>
    </row>
    <row r="15" spans="1:2" x14ac:dyDescent="0.2">
      <c r="A15" s="1" t="s">
        <v>5</v>
      </c>
      <c r="B15" s="8">
        <f>B13+B14</f>
        <v>59.3</v>
      </c>
    </row>
    <row r="17" spans="1:2" ht="15.75" x14ac:dyDescent="0.25">
      <c r="A17" s="2" t="s">
        <v>7</v>
      </c>
      <c r="B17" s="4"/>
    </row>
    <row r="18" spans="1:2" x14ac:dyDescent="0.2">
      <c r="B18" s="4"/>
    </row>
    <row r="19" spans="1:2" x14ac:dyDescent="0.2">
      <c r="A19" t="s">
        <v>0</v>
      </c>
      <c r="B19" s="5">
        <v>3000</v>
      </c>
    </row>
    <row r="20" spans="1:2" x14ac:dyDescent="0.2">
      <c r="A20" t="s">
        <v>1</v>
      </c>
      <c r="B20" s="4">
        <f>55+ROUNDUP((B19-2000),-3)/1000*9</f>
        <v>64</v>
      </c>
    </row>
    <row r="21" spans="1:2" x14ac:dyDescent="0.2">
      <c r="A21" t="s">
        <v>4</v>
      </c>
      <c r="B21" s="4">
        <f>64.5+(ROUNDUP(B19-2000,-2)/1000)*4.8</f>
        <v>69.3</v>
      </c>
    </row>
    <row r="22" spans="1:2" x14ac:dyDescent="0.2">
      <c r="A22" s="1" t="s">
        <v>5</v>
      </c>
      <c r="B22" s="8">
        <f>B20+B21</f>
        <v>133.30000000000001</v>
      </c>
    </row>
    <row r="24" spans="1:2" ht="15.75" x14ac:dyDescent="0.25">
      <c r="A24" s="2" t="s">
        <v>8</v>
      </c>
      <c r="B24" s="4"/>
    </row>
    <row r="25" spans="1:2" x14ac:dyDescent="0.2">
      <c r="B25" s="4"/>
    </row>
    <row r="26" spans="1:2" x14ac:dyDescent="0.2">
      <c r="A26" t="s">
        <v>0</v>
      </c>
      <c r="B26" s="5">
        <v>26000</v>
      </c>
    </row>
    <row r="27" spans="1:2" x14ac:dyDescent="0.2">
      <c r="A27" t="s">
        <v>1</v>
      </c>
      <c r="B27" s="4">
        <f>262+ROUNDUP((B26-25000),-3)/1000*6.5</f>
        <v>268.5</v>
      </c>
    </row>
    <row r="28" spans="1:2" x14ac:dyDescent="0.2">
      <c r="A28" t="s">
        <v>4</v>
      </c>
      <c r="B28" s="4">
        <f>174.9+(ROUNDUP(B26-25000,-2)/1000)*2.1</f>
        <v>177</v>
      </c>
    </row>
    <row r="29" spans="1:2" x14ac:dyDescent="0.2">
      <c r="B29" s="4"/>
    </row>
    <row r="30" spans="1:2" x14ac:dyDescent="0.2">
      <c r="A30" s="1" t="s">
        <v>5</v>
      </c>
      <c r="B30" s="11">
        <f>B27+B28</f>
        <v>445.5</v>
      </c>
    </row>
    <row r="32" spans="1:2" ht="15.75" x14ac:dyDescent="0.25">
      <c r="A32" s="2" t="s">
        <v>9</v>
      </c>
      <c r="B32" s="5"/>
    </row>
    <row r="33" spans="1:2" x14ac:dyDescent="0.2">
      <c r="B33" s="4"/>
    </row>
    <row r="34" spans="1:2" x14ac:dyDescent="0.2">
      <c r="A34" t="s">
        <v>0</v>
      </c>
      <c r="B34" s="5">
        <v>51000</v>
      </c>
    </row>
    <row r="35" spans="1:2" x14ac:dyDescent="0.2">
      <c r="A35" t="s">
        <v>1</v>
      </c>
      <c r="B35" s="4">
        <f>424.5+ROUNDUP((B34-50000),-3)/1000*4.5</f>
        <v>429</v>
      </c>
    </row>
    <row r="36" spans="1:2" x14ac:dyDescent="0.2">
      <c r="A36" t="s">
        <v>4</v>
      </c>
      <c r="B36" s="4">
        <f>227.4+(ROUNDUP(B34-50000,-2)/1000)*1.4</f>
        <v>228.8</v>
      </c>
    </row>
    <row r="37" spans="1:2" x14ac:dyDescent="0.2">
      <c r="A37" s="1" t="s">
        <v>5</v>
      </c>
      <c r="B37" s="8">
        <f>B35+B36</f>
        <v>657.8</v>
      </c>
    </row>
    <row r="39" spans="1:2" ht="15.75" x14ac:dyDescent="0.25">
      <c r="A39" s="2" t="s">
        <v>50</v>
      </c>
      <c r="B39" s="5"/>
    </row>
    <row r="40" spans="1:2" x14ac:dyDescent="0.2">
      <c r="B40" s="4"/>
    </row>
    <row r="41" spans="1:2" x14ac:dyDescent="0.2">
      <c r="A41" t="s">
        <v>0</v>
      </c>
      <c r="B41" s="5">
        <v>101000</v>
      </c>
    </row>
    <row r="42" spans="1:2" x14ac:dyDescent="0.2">
      <c r="A42" t="s">
        <v>1</v>
      </c>
      <c r="B42" s="4">
        <f>424.5+ROUNDUP((B41-50000),-3)/1000*3.5</f>
        <v>603</v>
      </c>
    </row>
    <row r="43" spans="1:2" x14ac:dyDescent="0.2">
      <c r="A43" t="s">
        <v>4</v>
      </c>
      <c r="B43" s="4">
        <f>297.4+(ROUNDUP(B41-100000,-2)/1000)*0.25</f>
        <v>297.64999999999998</v>
      </c>
    </row>
    <row r="44" spans="1:2" x14ac:dyDescent="0.2">
      <c r="A44" s="1" t="s">
        <v>5</v>
      </c>
      <c r="B44" s="8">
        <f>B42+B43</f>
        <v>900.65</v>
      </c>
    </row>
  </sheetData>
  <sheetProtection sheet="1" objects="1" scenarios="1"/>
  <phoneticPr fontId="2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2"/>
  <sheetViews>
    <sheetView workbookViewId="0">
      <selection activeCell="E16" sqref="E16"/>
    </sheetView>
  </sheetViews>
  <sheetFormatPr defaultRowHeight="12.75" x14ac:dyDescent="0.2"/>
  <cols>
    <col min="1" max="1" width="18.5703125" customWidth="1"/>
    <col min="2" max="2" width="13.42578125" customWidth="1"/>
    <col min="5" max="5" width="17.28515625" customWidth="1"/>
    <col min="6" max="6" width="15.7109375" customWidth="1"/>
    <col min="8" max="8" width="19.42578125" customWidth="1"/>
    <col min="9" max="9" width="18" customWidth="1"/>
  </cols>
  <sheetData>
    <row r="1" spans="1:12" ht="15.75" x14ac:dyDescent="0.25">
      <c r="A1" s="2" t="s">
        <v>45</v>
      </c>
    </row>
    <row r="3" spans="1:12" ht="15.75" x14ac:dyDescent="0.25">
      <c r="A3" s="2" t="s">
        <v>17</v>
      </c>
      <c r="E3" s="2" t="s">
        <v>9</v>
      </c>
      <c r="F3" s="5"/>
      <c r="H3" s="13" t="s">
        <v>40</v>
      </c>
    </row>
    <row r="4" spans="1:12" x14ac:dyDescent="0.2">
      <c r="F4" s="4"/>
    </row>
    <row r="5" spans="1:12" x14ac:dyDescent="0.2">
      <c r="A5" t="s">
        <v>18</v>
      </c>
      <c r="B5" s="5">
        <v>500</v>
      </c>
      <c r="E5" t="s">
        <v>0</v>
      </c>
      <c r="F5" s="5">
        <v>51000</v>
      </c>
      <c r="H5" t="s">
        <v>0</v>
      </c>
      <c r="I5" s="5">
        <v>3000000</v>
      </c>
    </row>
    <row r="6" spans="1:12" x14ac:dyDescent="0.2">
      <c r="A6" t="s">
        <v>1</v>
      </c>
      <c r="B6" s="4">
        <v>25</v>
      </c>
      <c r="E6" t="s">
        <v>1</v>
      </c>
      <c r="F6" s="4">
        <f>424.5+ROUNDUP((F5-50000),-3)/1000*4.5</f>
        <v>429</v>
      </c>
      <c r="H6" t="s">
        <v>1</v>
      </c>
      <c r="I6" s="4">
        <f>3549.5+ROUNDUP((I5-1000000),-3)/1000*2</f>
        <v>7549.5</v>
      </c>
    </row>
    <row r="7" spans="1:12" x14ac:dyDescent="0.2">
      <c r="A7" t="s">
        <v>2</v>
      </c>
      <c r="B7" s="4">
        <f>B6*0.65</f>
        <v>16.25</v>
      </c>
      <c r="E7" t="s">
        <v>2</v>
      </c>
      <c r="F7" s="4">
        <f>F6*0.65</f>
        <v>278.85000000000002</v>
      </c>
      <c r="H7" t="s">
        <v>2</v>
      </c>
      <c r="I7" s="4">
        <f>I6*0.65</f>
        <v>4907.1750000000002</v>
      </c>
    </row>
    <row r="8" spans="1:12" x14ac:dyDescent="0.2">
      <c r="A8" t="s">
        <v>19</v>
      </c>
      <c r="B8" s="4">
        <f>B5*0.0005</f>
        <v>0.25</v>
      </c>
      <c r="E8" t="s">
        <v>3</v>
      </c>
      <c r="F8" s="4">
        <f>F5*0.0005</f>
        <v>25.5</v>
      </c>
      <c r="H8" t="s">
        <v>3</v>
      </c>
      <c r="I8" s="4">
        <f>900+((I5-2000000)*0.0003)</f>
        <v>1200</v>
      </c>
    </row>
    <row r="9" spans="1:12" x14ac:dyDescent="0.2">
      <c r="A9" t="s">
        <v>4</v>
      </c>
      <c r="B9" s="4">
        <v>30</v>
      </c>
      <c r="E9" t="s">
        <v>4</v>
      </c>
      <c r="F9" s="4">
        <f>227.4+(ROUNDUP(F5-50000,-3)/1000)*1.4</f>
        <v>228.8</v>
      </c>
      <c r="H9" t="s">
        <v>4</v>
      </c>
      <c r="I9" s="4">
        <f>297.4+(ROUNDUP(I5-100000,-3)/1000)*0.25</f>
        <v>1022.4</v>
      </c>
    </row>
    <row r="10" spans="1:12" x14ac:dyDescent="0.2">
      <c r="B10" s="4"/>
      <c r="I10" s="4"/>
    </row>
    <row r="11" spans="1:12" x14ac:dyDescent="0.2">
      <c r="A11" s="1" t="s">
        <v>5</v>
      </c>
      <c r="B11" s="11">
        <f>B6+B7+B8+B9</f>
        <v>71.5</v>
      </c>
      <c r="E11" s="1" t="s">
        <v>44</v>
      </c>
      <c r="F11" s="11">
        <f>F6+F7+F8+F9</f>
        <v>962.15000000000009</v>
      </c>
      <c r="H11" s="1" t="s">
        <v>5</v>
      </c>
      <c r="I11" s="11">
        <f>I6+I7+I8+I9+I10</f>
        <v>14679.074999999999</v>
      </c>
    </row>
    <row r="13" spans="1:12" ht="15.75" x14ac:dyDescent="0.25">
      <c r="A13" s="2" t="s">
        <v>20</v>
      </c>
      <c r="E13" s="2" t="s">
        <v>10</v>
      </c>
      <c r="H13" s="13" t="s">
        <v>41</v>
      </c>
    </row>
    <row r="15" spans="1:12" ht="15.75" x14ac:dyDescent="0.25">
      <c r="A15" t="s">
        <v>0</v>
      </c>
      <c r="B15" s="5">
        <v>600</v>
      </c>
      <c r="E15" t="s">
        <v>0</v>
      </c>
      <c r="F15" s="5">
        <v>200000</v>
      </c>
      <c r="H15" t="s">
        <v>0</v>
      </c>
      <c r="I15" s="5">
        <v>4000000</v>
      </c>
      <c r="L15" s="13"/>
    </row>
    <row r="16" spans="1:12" x14ac:dyDescent="0.2">
      <c r="A16" t="s">
        <v>1</v>
      </c>
      <c r="B16" s="4">
        <f>25+ROUNDUP((B15-500),-2)/100*2</f>
        <v>27</v>
      </c>
      <c r="E16" t="s">
        <v>1</v>
      </c>
      <c r="F16" s="4">
        <f>649.5+ROUNDUP((F15-100000),-3)/1000*3.5</f>
        <v>999.5</v>
      </c>
      <c r="H16" t="s">
        <v>1</v>
      </c>
      <c r="I16" s="4">
        <f>3549.5+ROUNDUP((I15-1000000),-3)/1000*2</f>
        <v>9549.5</v>
      </c>
    </row>
    <row r="17" spans="1:13" x14ac:dyDescent="0.2">
      <c r="A17" t="s">
        <v>2</v>
      </c>
      <c r="B17" s="4">
        <f>B16*0.65</f>
        <v>17.55</v>
      </c>
      <c r="E17" t="s">
        <v>2</v>
      </c>
      <c r="F17" s="4">
        <f>F16*0.65</f>
        <v>649.67500000000007</v>
      </c>
      <c r="H17" t="s">
        <v>2</v>
      </c>
      <c r="I17" s="4">
        <f>I16*0.65</f>
        <v>6207.1750000000002</v>
      </c>
      <c r="M17" s="5"/>
    </row>
    <row r="18" spans="1:13" x14ac:dyDescent="0.2">
      <c r="A18" t="s">
        <v>3</v>
      </c>
      <c r="B18" s="4">
        <f>B15*0.0005</f>
        <v>0.3</v>
      </c>
      <c r="E18" t="s">
        <v>3</v>
      </c>
      <c r="F18" s="4">
        <f>F15*0.0005</f>
        <v>100</v>
      </c>
      <c r="H18" t="s">
        <v>3</v>
      </c>
      <c r="I18" s="4">
        <f>1200+((I15-3000000)*0.0002)</f>
        <v>1400</v>
      </c>
      <c r="M18" s="4"/>
    </row>
    <row r="19" spans="1:13" x14ac:dyDescent="0.2">
      <c r="A19" t="s">
        <v>4</v>
      </c>
      <c r="B19" s="4">
        <f>30+(ROUNDUP(B15-500,-2)/100)*2.3</f>
        <v>32.299999999999997</v>
      </c>
      <c r="E19" t="s">
        <v>4</v>
      </c>
      <c r="F19" s="4">
        <f>297.4+(ROUNDUP(F15-100000,-3)/1000)*0.25</f>
        <v>322.39999999999998</v>
      </c>
      <c r="H19" t="s">
        <v>4</v>
      </c>
      <c r="I19" s="4">
        <f>297.4+(ROUNDUP(I15-100000,-3)/1000)*0.25</f>
        <v>1272.4000000000001</v>
      </c>
      <c r="M19" s="4"/>
    </row>
    <row r="20" spans="1:13" x14ac:dyDescent="0.2">
      <c r="B20" s="4"/>
      <c r="F20" s="4"/>
      <c r="I20" s="4"/>
      <c r="M20" s="4"/>
    </row>
    <row r="21" spans="1:13" x14ac:dyDescent="0.2">
      <c r="A21" s="1" t="s">
        <v>5</v>
      </c>
      <c r="B21" s="11">
        <f>B16+B17+B18+B19</f>
        <v>77.149999999999991</v>
      </c>
      <c r="E21" s="1" t="s">
        <v>5</v>
      </c>
      <c r="F21" s="11">
        <f>SUM(F16:F19)</f>
        <v>2071.5750000000003</v>
      </c>
      <c r="H21" s="1" t="s">
        <v>5</v>
      </c>
      <c r="I21" s="11">
        <f>I16+I17+I18+I19+I20</f>
        <v>18429.075000000001</v>
      </c>
      <c r="M21" s="4"/>
    </row>
    <row r="22" spans="1:13" x14ac:dyDescent="0.2">
      <c r="B22" s="4"/>
      <c r="M22" s="4"/>
    </row>
    <row r="23" spans="1:13" ht="15.75" x14ac:dyDescent="0.25">
      <c r="A23" s="2" t="s">
        <v>7</v>
      </c>
      <c r="B23" s="4"/>
      <c r="E23" s="2" t="s">
        <v>11</v>
      </c>
      <c r="H23" s="13" t="s">
        <v>42</v>
      </c>
      <c r="L23" s="1"/>
      <c r="M23" s="11"/>
    </row>
    <row r="24" spans="1:13" x14ac:dyDescent="0.2">
      <c r="B24" s="4"/>
    </row>
    <row r="25" spans="1:13" x14ac:dyDescent="0.2">
      <c r="A25" t="s">
        <v>0</v>
      </c>
      <c r="B25" s="5">
        <v>10000</v>
      </c>
      <c r="E25" t="s">
        <v>0</v>
      </c>
      <c r="F25" s="5">
        <v>1000000</v>
      </c>
      <c r="H25" t="s">
        <v>0</v>
      </c>
      <c r="I25" s="5">
        <v>4500000</v>
      </c>
    </row>
    <row r="26" spans="1:13" x14ac:dyDescent="0.2">
      <c r="A26" t="s">
        <v>1</v>
      </c>
      <c r="B26" s="4">
        <f>55+ROUNDUP((B25-2000),-3)/1000*9</f>
        <v>127</v>
      </c>
      <c r="E26" t="s">
        <v>1</v>
      </c>
      <c r="F26" s="4">
        <f>2049.5+ROUNDUP((F25-500000),-3)/1000*3</f>
        <v>3549.5</v>
      </c>
      <c r="H26" t="s">
        <v>1</v>
      </c>
      <c r="I26" s="4">
        <f>3549.5+ROUNDUP((I25-1000000),-3)/1000*2</f>
        <v>10549.5</v>
      </c>
    </row>
    <row r="27" spans="1:13" x14ac:dyDescent="0.2">
      <c r="A27" t="s">
        <v>2</v>
      </c>
      <c r="B27" s="4">
        <f>B26*0.65</f>
        <v>82.55</v>
      </c>
      <c r="E27" t="s">
        <v>2</v>
      </c>
      <c r="F27" s="4">
        <f>F26*0.65</f>
        <v>2307.1750000000002</v>
      </c>
      <c r="H27" t="s">
        <v>2</v>
      </c>
      <c r="I27" s="4">
        <f>I26*0.65</f>
        <v>6857.1750000000002</v>
      </c>
    </row>
    <row r="28" spans="1:13" x14ac:dyDescent="0.2">
      <c r="A28" t="s">
        <v>3</v>
      </c>
      <c r="B28" s="4">
        <f>B25*0.0005</f>
        <v>5</v>
      </c>
      <c r="E28" t="s">
        <v>3</v>
      </c>
      <c r="F28" s="4">
        <f>F25*0.0005</f>
        <v>500</v>
      </c>
      <c r="H28" t="s">
        <v>3</v>
      </c>
      <c r="I28" s="4">
        <f>1400+(I25-4000000)*0.0001</f>
        <v>1450</v>
      </c>
    </row>
    <row r="29" spans="1:13" x14ac:dyDescent="0.2">
      <c r="A29" t="s">
        <v>4</v>
      </c>
      <c r="B29" s="4">
        <f>64.5+(ROUNDUP(B25-2000,-3)/1000)*4.8</f>
        <v>102.9</v>
      </c>
      <c r="E29" t="s">
        <v>4</v>
      </c>
      <c r="F29" s="4">
        <f>297.48+(ROUNDUP(F25-100000,-3)/1000)*0.25</f>
        <v>522.48</v>
      </c>
      <c r="H29" t="s">
        <v>4</v>
      </c>
      <c r="I29" s="4">
        <f>297.4+(ROUNDUP(I25-100000,-3)/1000)*0.25</f>
        <v>1397.4</v>
      </c>
    </row>
    <row r="30" spans="1:13" x14ac:dyDescent="0.2">
      <c r="B30" s="4"/>
      <c r="F30" s="4"/>
      <c r="I30" s="4"/>
    </row>
    <row r="31" spans="1:13" x14ac:dyDescent="0.2">
      <c r="A31" s="1" t="s">
        <v>5</v>
      </c>
      <c r="B31" s="11">
        <f>B26+B27+B28+B29</f>
        <v>317.45000000000005</v>
      </c>
      <c r="E31" s="1" t="s">
        <v>5</v>
      </c>
      <c r="F31" s="11">
        <f>F26+F27+F28+F29+F30</f>
        <v>6879.1550000000007</v>
      </c>
      <c r="H31" s="1" t="s">
        <v>5</v>
      </c>
      <c r="I31" s="11">
        <f>I26+I27+I28+I29+I30</f>
        <v>20254.075000000001</v>
      </c>
    </row>
    <row r="32" spans="1:13" x14ac:dyDescent="0.2">
      <c r="B32" s="4"/>
    </row>
    <row r="33" spans="1:9" ht="15.75" x14ac:dyDescent="0.25">
      <c r="A33" s="2" t="s">
        <v>8</v>
      </c>
      <c r="B33" s="4"/>
      <c r="E33" s="13" t="s">
        <v>39</v>
      </c>
      <c r="H33" s="13" t="s">
        <v>43</v>
      </c>
    </row>
    <row r="34" spans="1:9" x14ac:dyDescent="0.2">
      <c r="B34" s="4"/>
    </row>
    <row r="35" spans="1:9" x14ac:dyDescent="0.2">
      <c r="A35" t="s">
        <v>0</v>
      </c>
      <c r="B35" s="5">
        <v>26000</v>
      </c>
      <c r="E35" t="s">
        <v>0</v>
      </c>
      <c r="F35" s="5">
        <v>1100000</v>
      </c>
      <c r="H35" t="s">
        <v>0</v>
      </c>
      <c r="I35" s="5">
        <v>20000000</v>
      </c>
    </row>
    <row r="36" spans="1:9" x14ac:dyDescent="0.2">
      <c r="A36" t="s">
        <v>1</v>
      </c>
      <c r="B36" s="4">
        <f>262+ROUNDUP((B35-25000),-3)/1000*6.5</f>
        <v>268.5</v>
      </c>
      <c r="E36" t="s">
        <v>1</v>
      </c>
      <c r="F36" s="4">
        <f>3549.5+ROUNDUP((F35-1000000),-3)/1000*2</f>
        <v>3749.5</v>
      </c>
      <c r="H36" t="s">
        <v>1</v>
      </c>
      <c r="I36" s="4">
        <f>3549.5+ROUNDUP((I35-1000000),-3)/1000*2</f>
        <v>41549.5</v>
      </c>
    </row>
    <row r="37" spans="1:9" x14ac:dyDescent="0.2">
      <c r="A37" t="s">
        <v>2</v>
      </c>
      <c r="B37" s="4">
        <f>B36*0.65</f>
        <v>174.52500000000001</v>
      </c>
      <c r="E37" t="s">
        <v>2</v>
      </c>
      <c r="F37" s="4">
        <f>F36*0.65</f>
        <v>2437.1750000000002</v>
      </c>
      <c r="H37" t="s">
        <v>2</v>
      </c>
      <c r="I37" s="4">
        <f>I36*0.65</f>
        <v>27007.174999999999</v>
      </c>
    </row>
    <row r="38" spans="1:9" x14ac:dyDescent="0.2">
      <c r="A38" t="s">
        <v>3</v>
      </c>
      <c r="B38" s="4">
        <f>B35*0.0005</f>
        <v>13</v>
      </c>
      <c r="E38" t="s">
        <v>3</v>
      </c>
      <c r="F38" s="4">
        <f>500+((F35-1000000)*0.0004)</f>
        <v>540</v>
      </c>
      <c r="H38" t="s">
        <v>3</v>
      </c>
      <c r="I38" s="4">
        <f>1500+(I35-5000000)*0.00005</f>
        <v>2250</v>
      </c>
    </row>
    <row r="39" spans="1:9" x14ac:dyDescent="0.2">
      <c r="A39" t="s">
        <v>4</v>
      </c>
      <c r="B39" s="4">
        <f>174.9+(ROUNDUP(B35-25000,-3)/1000)*2.1</f>
        <v>177</v>
      </c>
      <c r="E39" t="s">
        <v>4</v>
      </c>
      <c r="F39" s="4">
        <f>297.4+(ROUNDUP(F35-100000,-3)/1000)*0.25</f>
        <v>547.4</v>
      </c>
      <c r="H39" t="s">
        <v>4</v>
      </c>
      <c r="I39" s="4">
        <f>297.4+(ROUNDUP(I35-100000,-3)/1000)*0.25</f>
        <v>5272.4</v>
      </c>
    </row>
    <row r="40" spans="1:9" x14ac:dyDescent="0.2">
      <c r="B40" s="4"/>
      <c r="F40" s="4"/>
      <c r="I40" s="4"/>
    </row>
    <row r="41" spans="1:9" x14ac:dyDescent="0.2">
      <c r="A41" s="1" t="s">
        <v>5</v>
      </c>
      <c r="B41" s="11">
        <f>B36+B37+B38+B39</f>
        <v>633.02499999999998</v>
      </c>
      <c r="E41" s="1" t="s">
        <v>5</v>
      </c>
      <c r="F41" s="11">
        <f>F36+F37+F38+F39+F40</f>
        <v>7274.0749999999998</v>
      </c>
      <c r="H41" s="1" t="s">
        <v>5</v>
      </c>
      <c r="I41" s="11">
        <f>I36+I37+I38+I39+I40</f>
        <v>76079.074999999997</v>
      </c>
    </row>
    <row r="44" spans="1:9" ht="15.75" x14ac:dyDescent="0.25">
      <c r="A44" s="13"/>
    </row>
    <row r="46" spans="1:9" x14ac:dyDescent="0.2">
      <c r="B46" s="5"/>
    </row>
    <row r="47" spans="1:9" x14ac:dyDescent="0.2">
      <c r="B47" s="4"/>
    </row>
    <row r="48" spans="1:9" x14ac:dyDescent="0.2">
      <c r="B48" s="4"/>
    </row>
    <row r="49" spans="1:2" x14ac:dyDescent="0.2">
      <c r="B49" s="4"/>
    </row>
    <row r="50" spans="1:2" x14ac:dyDescent="0.2">
      <c r="B50" s="4"/>
    </row>
    <row r="51" spans="1:2" x14ac:dyDescent="0.2">
      <c r="B51" s="4"/>
    </row>
    <row r="52" spans="1:2" x14ac:dyDescent="0.2">
      <c r="A52" s="1"/>
      <c r="B52" s="11"/>
    </row>
  </sheetData>
  <sheetProtection sheet="1" objects="1" scenarios="1"/>
  <phoneticPr fontId="2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0"/>
  <sheetViews>
    <sheetView workbookViewId="0">
      <selection activeCell="G13" sqref="G13"/>
    </sheetView>
  </sheetViews>
  <sheetFormatPr defaultRowHeight="12.75" x14ac:dyDescent="0.2"/>
  <cols>
    <col min="1" max="1" width="23.42578125" customWidth="1"/>
    <col min="2" max="2" width="26.5703125" bestFit="1" customWidth="1"/>
    <col min="3" max="3" width="2.140625" customWidth="1"/>
    <col min="5" max="5" width="11.42578125" customWidth="1"/>
    <col min="6" max="6" width="2" customWidth="1"/>
    <col min="8" max="8" width="11.140625" customWidth="1"/>
    <col min="9" max="9" width="2.7109375" customWidth="1"/>
    <col min="10" max="10" width="10.5703125" customWidth="1"/>
    <col min="11" max="11" width="11.5703125" customWidth="1"/>
  </cols>
  <sheetData>
    <row r="1" spans="1:11" ht="15.75" x14ac:dyDescent="0.25">
      <c r="A1" s="7" t="s">
        <v>37</v>
      </c>
      <c r="D1" s="2" t="s">
        <v>31</v>
      </c>
      <c r="G1" s="2" t="s">
        <v>35</v>
      </c>
      <c r="J1" s="2" t="s">
        <v>36</v>
      </c>
    </row>
    <row r="3" spans="1:11" x14ac:dyDescent="0.2">
      <c r="A3" t="s">
        <v>22</v>
      </c>
      <c r="B3" s="6">
        <v>0</v>
      </c>
      <c r="D3" t="s">
        <v>29</v>
      </c>
      <c r="E3" s="6">
        <v>1</v>
      </c>
      <c r="G3" t="s">
        <v>29</v>
      </c>
      <c r="H3" s="6">
        <v>1</v>
      </c>
      <c r="J3" t="s">
        <v>32</v>
      </c>
      <c r="K3" s="6">
        <v>1</v>
      </c>
    </row>
    <row r="4" spans="1:11" x14ac:dyDescent="0.2">
      <c r="A4" t="s">
        <v>23</v>
      </c>
      <c r="B4" s="6">
        <v>0</v>
      </c>
      <c r="D4" t="s">
        <v>30</v>
      </c>
      <c r="E4" s="6">
        <v>1</v>
      </c>
      <c r="G4" t="s">
        <v>30</v>
      </c>
      <c r="H4" s="6">
        <v>1</v>
      </c>
      <c r="K4" s="8">
        <f>K3*17.5</f>
        <v>17.5</v>
      </c>
    </row>
    <row r="5" spans="1:11" x14ac:dyDescent="0.2">
      <c r="A5" t="s">
        <v>24</v>
      </c>
      <c r="B5" s="6">
        <v>1</v>
      </c>
    </row>
    <row r="6" spans="1:11" x14ac:dyDescent="0.2">
      <c r="A6" t="s">
        <v>25</v>
      </c>
      <c r="B6" s="6">
        <v>0</v>
      </c>
      <c r="D6" s="1" t="s">
        <v>0</v>
      </c>
      <c r="E6" s="8">
        <f>(E3*E4)*17.5</f>
        <v>17.5</v>
      </c>
      <c r="G6" s="1" t="s">
        <v>0</v>
      </c>
      <c r="H6" s="8">
        <f>(H3*H4)*25</f>
        <v>25</v>
      </c>
    </row>
    <row r="7" spans="1:11" x14ac:dyDescent="0.2">
      <c r="A7" t="s">
        <v>26</v>
      </c>
      <c r="B7" s="6">
        <v>0</v>
      </c>
    </row>
    <row r="8" spans="1:11" x14ac:dyDescent="0.2">
      <c r="A8" t="s">
        <v>27</v>
      </c>
      <c r="B8" s="6">
        <v>0</v>
      </c>
    </row>
    <row r="10" spans="1:11" x14ac:dyDescent="0.2">
      <c r="A10" s="1" t="s">
        <v>28</v>
      </c>
      <c r="B10" s="8">
        <f>(B3*100.26)+(B4*35)+(B5*16.5)+(B6*39.72)+(B7*25)+(B8*17.5)</f>
        <v>16.5</v>
      </c>
    </row>
  </sheetData>
  <phoneticPr fontId="2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NEW SFD, ADDS, DECKS, ACCES STR</vt:lpstr>
      <vt:lpstr>Residential Alter.</vt:lpstr>
      <vt:lpstr>Mfg. Home</vt:lpstr>
      <vt:lpstr>Business Sign</vt:lpstr>
      <vt:lpstr>Demolition</vt:lpstr>
      <vt:lpstr>Commercial</vt:lpstr>
      <vt:lpstr>Valuation Calculations</vt:lpstr>
      <vt:lpstr>Sheet1</vt:lpstr>
    </vt:vector>
  </TitlesOfParts>
  <Company>City of Rochester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kheppelman</dc:creator>
  <cp:lastModifiedBy>Aagard, Andrea</cp:lastModifiedBy>
  <cp:lastPrinted>2014-10-17T21:14:47Z</cp:lastPrinted>
  <dcterms:created xsi:type="dcterms:W3CDTF">2007-12-07T20:16:59Z</dcterms:created>
  <dcterms:modified xsi:type="dcterms:W3CDTF">2024-07-10T20:13:50Z</dcterms:modified>
  <cp:contentStatus/>
</cp:coreProperties>
</file>